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es\Desktop\"/>
    </mc:Choice>
  </mc:AlternateContent>
  <bookViews>
    <workbookView xWindow="120" yWindow="45" windowWidth="10800" windowHeight="10440"/>
  </bookViews>
  <sheets>
    <sheet name="Sheet2" sheetId="1" r:id="rId1"/>
  </sheets>
  <definedNames>
    <definedName name="_xlnm.Print_Area" localSheetId="0">Sheet2!$A$1:$K$193</definedName>
  </definedNames>
  <calcPr calcId="152511"/>
</workbook>
</file>

<file path=xl/calcChain.xml><?xml version="1.0" encoding="utf-8"?>
<calcChain xmlns="http://schemas.openxmlformats.org/spreadsheetml/2006/main">
  <c r="G179" i="1" l="1"/>
  <c r="K192" i="1"/>
  <c r="K191" i="1"/>
  <c r="K190" i="1"/>
  <c r="K189" i="1"/>
  <c r="K185" i="1"/>
  <c r="K183" i="1"/>
  <c r="K176" i="1"/>
  <c r="K175" i="1"/>
  <c r="K174" i="1"/>
  <c r="G185" i="1"/>
  <c r="G183" i="1"/>
  <c r="K169" i="1"/>
  <c r="K168" i="1"/>
  <c r="K163" i="1"/>
  <c r="K162" i="1"/>
  <c r="K157" i="1"/>
  <c r="K156" i="1"/>
  <c r="K155" i="1"/>
  <c r="K154" i="1"/>
  <c r="K149" i="1"/>
  <c r="K148" i="1"/>
  <c r="K147" i="1"/>
  <c r="K146" i="1"/>
  <c r="G192" i="1" l="1"/>
  <c r="G191" i="1"/>
  <c r="G190" i="1"/>
  <c r="G189" i="1"/>
  <c r="G176" i="1"/>
  <c r="G175" i="1"/>
  <c r="G174" i="1"/>
  <c r="G169" i="1"/>
  <c r="G168" i="1"/>
  <c r="G163" i="1"/>
  <c r="G162" i="1"/>
  <c r="G157" i="1"/>
  <c r="G156" i="1"/>
  <c r="G155" i="1"/>
  <c r="G154" i="1"/>
  <c r="G149" i="1"/>
  <c r="G148" i="1"/>
  <c r="G147" i="1"/>
  <c r="G146" i="1"/>
  <c r="K140" i="1"/>
  <c r="K141" i="1"/>
  <c r="K139" i="1"/>
  <c r="G140" i="1"/>
  <c r="G141" i="1"/>
  <c r="G139" i="1"/>
  <c r="J142" i="1"/>
  <c r="I142" i="1"/>
  <c r="H142" i="1"/>
  <c r="K134" i="1"/>
  <c r="K133" i="1"/>
  <c r="K132" i="1"/>
  <c r="K131" i="1"/>
  <c r="K130" i="1"/>
  <c r="K126" i="1"/>
  <c r="K125" i="1"/>
  <c r="K124" i="1"/>
  <c r="K123" i="1"/>
  <c r="K120" i="1"/>
  <c r="K119" i="1"/>
  <c r="K118" i="1"/>
  <c r="K117" i="1"/>
  <c r="K116" i="1"/>
  <c r="K113" i="1"/>
  <c r="G134" i="1"/>
  <c r="G133" i="1"/>
  <c r="G132" i="1"/>
  <c r="G131" i="1"/>
  <c r="G130" i="1"/>
  <c r="G126" i="1"/>
  <c r="G125" i="1"/>
  <c r="G124" i="1"/>
  <c r="G123" i="1"/>
  <c r="G120" i="1"/>
  <c r="G119" i="1"/>
  <c r="G118" i="1"/>
  <c r="G117" i="1"/>
  <c r="G116" i="1"/>
  <c r="G113" i="1"/>
  <c r="K103" i="1" l="1"/>
  <c r="K104" i="1"/>
  <c r="K105" i="1"/>
  <c r="K106" i="1"/>
  <c r="K108" i="1"/>
  <c r="K102" i="1"/>
  <c r="K98" i="1"/>
  <c r="K97" i="1"/>
  <c r="K93" i="1"/>
  <c r="K92" i="1"/>
  <c r="K91" i="1"/>
  <c r="K90" i="1"/>
  <c r="K83" i="1"/>
  <c r="K84" i="1"/>
  <c r="K85" i="1"/>
  <c r="K82" i="1"/>
  <c r="K78" i="1"/>
  <c r="K77" i="1"/>
  <c r="K76" i="1"/>
  <c r="K75" i="1"/>
  <c r="K71" i="1"/>
  <c r="K70" i="1"/>
  <c r="K64" i="1"/>
  <c r="K65" i="1"/>
  <c r="K66" i="1"/>
  <c r="K63" i="1"/>
  <c r="K59" i="1"/>
  <c r="K58" i="1"/>
  <c r="K57" i="1"/>
  <c r="K56" i="1"/>
  <c r="K44" i="1"/>
  <c r="K43" i="1"/>
  <c r="K35" i="1"/>
  <c r="K33" i="1"/>
  <c r="K32" i="1"/>
  <c r="K30" i="1"/>
  <c r="K29" i="1"/>
  <c r="K18" i="1"/>
  <c r="K16" i="1"/>
  <c r="K13" i="1"/>
  <c r="K8" i="1"/>
  <c r="G103" i="1"/>
  <c r="G104" i="1"/>
  <c r="G105" i="1"/>
  <c r="G106" i="1"/>
  <c r="G107" i="1"/>
  <c r="G108" i="1"/>
  <c r="G102" i="1"/>
  <c r="G98" i="1"/>
  <c r="G97" i="1"/>
  <c r="G91" i="1"/>
  <c r="G92" i="1"/>
  <c r="G93" i="1"/>
  <c r="G90" i="1"/>
  <c r="G85" i="1"/>
  <c r="G84" i="1"/>
  <c r="G83" i="1"/>
  <c r="G76" i="1"/>
  <c r="G77" i="1"/>
  <c r="G78" i="1"/>
  <c r="G71" i="1"/>
  <c r="G70" i="1"/>
  <c r="G66" i="1"/>
  <c r="G65" i="1"/>
  <c r="G64" i="1"/>
  <c r="G63" i="1"/>
  <c r="G43" i="1"/>
  <c r="G44" i="1"/>
  <c r="G32" i="1"/>
  <c r="G33" i="1"/>
  <c r="G35" i="1"/>
  <c r="G25" i="1"/>
  <c r="G27" i="1"/>
  <c r="G28" i="1"/>
  <c r="G24" i="1"/>
  <c r="G18" i="1"/>
  <c r="G16" i="1"/>
  <c r="G13" i="1"/>
  <c r="G8" i="1"/>
  <c r="E142" i="1" l="1"/>
  <c r="D142" i="1"/>
  <c r="C142" i="1"/>
  <c r="J99" i="1"/>
  <c r="H99" i="1"/>
  <c r="I99" i="1"/>
  <c r="J109" i="1"/>
  <c r="I109" i="1"/>
  <c r="H109" i="1"/>
  <c r="K142" i="1" l="1"/>
  <c r="G142" i="1"/>
  <c r="I94" i="1"/>
  <c r="J94" i="1"/>
  <c r="H94" i="1"/>
  <c r="J86" i="1"/>
  <c r="H86" i="1"/>
  <c r="H79" i="1"/>
  <c r="J72" i="1"/>
  <c r="H72" i="1"/>
  <c r="H67" i="1"/>
  <c r="H60" i="1"/>
  <c r="H48" i="1"/>
  <c r="I30" i="1"/>
  <c r="H19" i="1"/>
  <c r="H10" i="1"/>
  <c r="J67" i="1"/>
  <c r="J60" i="1"/>
  <c r="C109" i="1"/>
  <c r="D109" i="1"/>
  <c r="E109" i="1"/>
  <c r="F109" i="1"/>
  <c r="G109" i="1" s="1"/>
  <c r="I45" i="1"/>
  <c r="H45" i="1"/>
  <c r="I37" i="1"/>
  <c r="H31" i="1"/>
  <c r="H36" i="1"/>
  <c r="J19" i="1"/>
  <c r="K109" i="1" l="1"/>
  <c r="J48" i="1"/>
  <c r="J10" i="1"/>
  <c r="J51" i="1" l="1"/>
  <c r="F94" i="1"/>
  <c r="F99" i="1"/>
  <c r="F79" i="1"/>
  <c r="F72" i="1"/>
  <c r="F67" i="1"/>
  <c r="F86" i="1"/>
  <c r="F60" i="1"/>
  <c r="F47" i="1"/>
  <c r="F46" i="1"/>
  <c r="F42" i="1"/>
  <c r="F41" i="1"/>
  <c r="F34" i="1"/>
  <c r="F45" i="1" l="1"/>
  <c r="G94" i="1"/>
  <c r="K94" i="1"/>
  <c r="F36" i="1"/>
  <c r="K34" i="1"/>
  <c r="G34" i="1"/>
  <c r="K47" i="1"/>
  <c r="K72" i="1"/>
  <c r="G41" i="1"/>
  <c r="K41" i="1"/>
  <c r="K60" i="1"/>
  <c r="K79" i="1"/>
  <c r="K67" i="1"/>
  <c r="K42" i="1"/>
  <c r="K86" i="1"/>
  <c r="K99" i="1"/>
  <c r="F48" i="1"/>
  <c r="F26" i="1"/>
  <c r="E17" i="1"/>
  <c r="F17" i="1"/>
  <c r="K48" i="1" l="1"/>
  <c r="F31" i="1"/>
  <c r="K26" i="1"/>
  <c r="G26" i="1"/>
  <c r="F19" i="1"/>
  <c r="K17" i="1"/>
  <c r="F9" i="1"/>
  <c r="F10" i="1" l="1"/>
  <c r="G9" i="1"/>
  <c r="K9" i="1"/>
  <c r="F37" i="1"/>
  <c r="K19" i="1"/>
  <c r="I86" i="1"/>
  <c r="I79" i="1"/>
  <c r="I72" i="1"/>
  <c r="I60" i="1"/>
  <c r="I67" i="1"/>
  <c r="K37" i="1" l="1"/>
  <c r="F51" i="1"/>
  <c r="K10" i="1"/>
  <c r="I19" i="1"/>
  <c r="I10" i="1"/>
  <c r="K51" i="1" l="1"/>
  <c r="C99" i="1"/>
  <c r="G99" i="1" s="1"/>
  <c r="D99" i="1"/>
  <c r="E99" i="1"/>
  <c r="E94" i="1"/>
  <c r="C36" i="1" l="1"/>
  <c r="G36" i="1" s="1"/>
  <c r="C82" i="1"/>
  <c r="G82" i="1" s="1"/>
  <c r="D82" i="1"/>
  <c r="D86" i="1" s="1"/>
  <c r="E86" i="1"/>
  <c r="E79" i="1"/>
  <c r="D75" i="1"/>
  <c r="D79" i="1" s="1"/>
  <c r="C75" i="1"/>
  <c r="G75" i="1" s="1"/>
  <c r="E72" i="1"/>
  <c r="D72" i="1"/>
  <c r="C72" i="1"/>
  <c r="G72" i="1" s="1"/>
  <c r="E67" i="1"/>
  <c r="D67" i="1"/>
  <c r="C67" i="1"/>
  <c r="G67" i="1" s="1"/>
  <c r="E59" i="1"/>
  <c r="E58" i="1"/>
  <c r="E57" i="1"/>
  <c r="E56" i="1"/>
  <c r="D59" i="1"/>
  <c r="D58" i="1"/>
  <c r="D57" i="1"/>
  <c r="D56" i="1"/>
  <c r="C59" i="1"/>
  <c r="G59" i="1" s="1"/>
  <c r="C58" i="1"/>
  <c r="G58" i="1" s="1"/>
  <c r="C57" i="1"/>
  <c r="G57" i="1" s="1"/>
  <c r="C56" i="1"/>
  <c r="G56" i="1" s="1"/>
  <c r="E34" i="1"/>
  <c r="E47" i="1"/>
  <c r="E46" i="1"/>
  <c r="E42" i="1"/>
  <c r="E41" i="1"/>
  <c r="D41" i="1"/>
  <c r="D47" i="1"/>
  <c r="D46" i="1"/>
  <c r="D45" i="1" s="1"/>
  <c r="D42" i="1"/>
  <c r="C31" i="1"/>
  <c r="G31" i="1" s="1"/>
  <c r="C47" i="1"/>
  <c r="G47" i="1" s="1"/>
  <c r="C42" i="1"/>
  <c r="G42" i="1" s="1"/>
  <c r="C46" i="1"/>
  <c r="D36" i="1"/>
  <c r="E31" i="1"/>
  <c r="D31" i="1"/>
  <c r="E19" i="1"/>
  <c r="D17" i="1"/>
  <c r="D19" i="1" s="1"/>
  <c r="C17" i="1"/>
  <c r="G17" i="1" s="1"/>
  <c r="E9" i="1"/>
  <c r="D9" i="1"/>
  <c r="D10" i="1" s="1"/>
  <c r="C10" i="1"/>
  <c r="G10" i="1" s="1"/>
  <c r="C45" i="1" l="1"/>
  <c r="G46" i="1"/>
  <c r="E45" i="1"/>
  <c r="E10" i="1"/>
  <c r="E36" i="1"/>
  <c r="C19" i="1"/>
  <c r="G19" i="1" s="1"/>
  <c r="C86" i="1"/>
  <c r="G86" i="1" s="1"/>
  <c r="D37" i="1"/>
  <c r="C37" i="1"/>
  <c r="G37" i="1" s="1"/>
  <c r="C79" i="1"/>
  <c r="G79" i="1" s="1"/>
  <c r="C48" i="1"/>
  <c r="G48" i="1" s="1"/>
  <c r="E48" i="1"/>
  <c r="C60" i="1"/>
  <c r="G60" i="1" s="1"/>
  <c r="D48" i="1"/>
  <c r="E60" i="1"/>
  <c r="D60" i="1"/>
  <c r="J46" i="1"/>
  <c r="K46" i="1" s="1"/>
  <c r="J36" i="1"/>
  <c r="K36" i="1" s="1"/>
  <c r="H37" i="1"/>
  <c r="H51" i="1" s="1"/>
  <c r="J31" i="1"/>
  <c r="K31" i="1" s="1"/>
  <c r="C51" i="1" l="1"/>
  <c r="G51" i="1" s="1"/>
  <c r="D51" i="1"/>
  <c r="E37" i="1"/>
  <c r="E51" i="1" s="1"/>
</calcChain>
</file>

<file path=xl/sharedStrings.xml><?xml version="1.0" encoding="utf-8"?>
<sst xmlns="http://schemas.openxmlformats.org/spreadsheetml/2006/main" count="185" uniqueCount="113">
  <si>
    <t xml:space="preserve">NELSON MANDELA METROPOLITAN UNIVERSITY </t>
  </si>
  <si>
    <t>ACADEMIC SIZE AND SHAPE PARAMETERS: 2011 - 2020</t>
  </si>
  <si>
    <t>No.</t>
  </si>
  <si>
    <t>KEY FEATURES OF NMMU ACADEMIC SIZE AND SHAPE</t>
  </si>
  <si>
    <t>Total Contact Enrolments</t>
  </si>
  <si>
    <t>Total Distance Enrolments</t>
  </si>
  <si>
    <t xml:space="preserve">Total student headcount enrolments </t>
  </si>
  <si>
    <t>FTE enrolments</t>
  </si>
  <si>
    <t>Total FTE student enrolments</t>
  </si>
  <si>
    <t>Occasional</t>
  </si>
  <si>
    <t>Undergraduate</t>
  </si>
  <si>
    <t>Postgraduate</t>
  </si>
  <si>
    <t>Total</t>
  </si>
  <si>
    <t>UG Diploma or Certificate (1/2 yrs)</t>
  </si>
  <si>
    <t>National Higher Certificate</t>
  </si>
  <si>
    <t>Higher and Advanced Certificate (HEQF)</t>
  </si>
  <si>
    <t xml:space="preserve">UG Diploma or Certificate (3 yrs) </t>
  </si>
  <si>
    <t>National Diploma</t>
  </si>
  <si>
    <t>Diploma (HEQF)</t>
  </si>
  <si>
    <t>Advanced Diploma (HEQF)</t>
  </si>
  <si>
    <t>General Academic Bachelor’s Degree</t>
  </si>
  <si>
    <t>Professional First Bachelor’s Degree (3 years)</t>
  </si>
  <si>
    <t>Professional First Bachelor’s Degree (4 yrs +)</t>
  </si>
  <si>
    <t>Baccalaureus Technologiae Degree</t>
  </si>
  <si>
    <t>Total UG</t>
  </si>
  <si>
    <t>PG Diploma or Certificate</t>
  </si>
  <si>
    <t>Honours Degree</t>
  </si>
  <si>
    <t>Masters Degree (Coursework)</t>
  </si>
  <si>
    <t>Masters Degree (Research)</t>
  </si>
  <si>
    <t>Research Masters Degree as % of total Masters</t>
  </si>
  <si>
    <t>Masters Degree (Total)</t>
  </si>
  <si>
    <t>Doctoral Degree</t>
  </si>
  <si>
    <t>Total PG</t>
  </si>
  <si>
    <t xml:space="preserve">Total UG &amp; PG </t>
  </si>
  <si>
    <t>SET</t>
  </si>
  <si>
    <t>Business and Management Sciences</t>
  </si>
  <si>
    <t>Education</t>
  </si>
  <si>
    <t>Humanities</t>
  </si>
  <si>
    <t>Male</t>
  </si>
  <si>
    <t>Female</t>
  </si>
  <si>
    <t>African</t>
  </si>
  <si>
    <t>Coloured</t>
  </si>
  <si>
    <t>Indian</t>
  </si>
  <si>
    <t>White</t>
  </si>
  <si>
    <t>NMB Metro</t>
  </si>
  <si>
    <t>Rest of Eastern Cape</t>
  </si>
  <si>
    <t>National</t>
  </si>
  <si>
    <t>International</t>
  </si>
  <si>
    <t>Total in University owned/ accredited accomodation</t>
  </si>
  <si>
    <r>
      <t>Proportion of</t>
    </r>
    <r>
      <rPr>
        <b/>
        <u/>
        <sz val="11"/>
        <color theme="1"/>
        <rFont val="Calibri"/>
        <family val="2"/>
        <scheme val="minor"/>
      </rPr>
      <t xml:space="preserve"> contact </t>
    </r>
    <r>
      <rPr>
        <b/>
        <sz val="11"/>
        <color theme="1"/>
        <rFont val="Calibri"/>
        <family val="2"/>
        <scheme val="minor"/>
      </rPr>
      <t>headcount enrolments per campus</t>
    </r>
  </si>
  <si>
    <t>South Campus</t>
  </si>
  <si>
    <t>North Campus</t>
  </si>
  <si>
    <t>George Campus</t>
  </si>
  <si>
    <t>2nd Avenue Campus</t>
  </si>
  <si>
    <t>Missionvale Campus</t>
  </si>
  <si>
    <t>Bird Street Campus</t>
  </si>
  <si>
    <t>Off Campus (East London)</t>
  </si>
  <si>
    <t>Average annual increase: 2011-2013</t>
  </si>
  <si>
    <t>Average annual increase: 2013-2020</t>
  </si>
  <si>
    <t>2019 Enrolment Plan Targets</t>
  </si>
  <si>
    <t>TEMP 2014</t>
  </si>
  <si>
    <t>Overall student success</t>
  </si>
  <si>
    <t>Student success rates by ethnic group</t>
  </si>
  <si>
    <t xml:space="preserve">White </t>
  </si>
  <si>
    <t>Overall student success rate by qualification level</t>
  </si>
  <si>
    <t>Postgraduate to masters</t>
  </si>
  <si>
    <t>Masters overall</t>
  </si>
  <si>
    <t>Doctors overall</t>
  </si>
  <si>
    <t>Student success rates by major fields of study</t>
  </si>
  <si>
    <t>Business and management sciences</t>
  </si>
  <si>
    <t xml:space="preserve">Total </t>
  </si>
  <si>
    <t>Headcounts of permanent academic staff by category</t>
  </si>
  <si>
    <t>Academic staff</t>
  </si>
  <si>
    <t>Professional support staff</t>
  </si>
  <si>
    <t>Other support staff</t>
  </si>
  <si>
    <t>&lt; 35 years</t>
  </si>
  <si>
    <t>36-50 years</t>
  </si>
  <si>
    <t>&gt;50 years</t>
  </si>
  <si>
    <t>Ratio of FTE students to FTE academic staff</t>
  </si>
  <si>
    <t xml:space="preserve">Weighted research outputs per permanent academic staff member </t>
  </si>
  <si>
    <t>South African</t>
  </si>
  <si>
    <t>SADC</t>
  </si>
  <si>
    <t>Rest of Africa</t>
  </si>
  <si>
    <t>Other international</t>
  </si>
  <si>
    <t xml:space="preserve">UG Cert/ Diploma </t>
  </si>
  <si>
    <t xml:space="preserve">UG Degree </t>
  </si>
  <si>
    <t>Headcount enrolments by major field of study</t>
  </si>
  <si>
    <t>Headcount enrolments by attendance mode</t>
  </si>
  <si>
    <t>Headcount enrolments by qualification level</t>
  </si>
  <si>
    <t>Undergraduate enrolments by qualification type</t>
  </si>
  <si>
    <t>Postgraduate enrolments by qualification type</t>
  </si>
  <si>
    <t>Headcount enrolments by major field of study 
(contact only)</t>
  </si>
  <si>
    <t xml:space="preserve">Headcount enrolments by gender </t>
  </si>
  <si>
    <t xml:space="preserve">Headcount enrolments by ethnic group </t>
  </si>
  <si>
    <t>Headcount enrolments by ethnic group (contact only)</t>
  </si>
  <si>
    <t xml:space="preserve">Headcount enrolments by catchment area </t>
  </si>
  <si>
    <r>
      <rPr>
        <b/>
        <u/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enrolments in university accommodation</t>
    </r>
  </si>
  <si>
    <t>Contact enrolments in university-owned accommodation</t>
  </si>
  <si>
    <t>Contact enrolments in university-accredited accommodation</t>
  </si>
  <si>
    <t>Permanent academic staff by gender</t>
  </si>
  <si>
    <t>Permanent academic staff by age</t>
  </si>
  <si>
    <t>1:30</t>
  </si>
  <si>
    <t>1:28</t>
  </si>
  <si>
    <t>Not yet available</t>
  </si>
  <si>
    <t>Permanent academic staff with doctoral qualifications (%)</t>
  </si>
  <si>
    <t>Permanent academic staff with Masters qualifications (as highest qualification) (%)</t>
  </si>
  <si>
    <t>Permanent academic staff by nationality (%)</t>
  </si>
  <si>
    <t>Permanent professional support staff by ethnic group (%)</t>
  </si>
  <si>
    <t>Permanent academic staff by ethnic group (%)</t>
  </si>
  <si>
    <t>Permanent professional support staff by gender (%)</t>
  </si>
  <si>
    <t>Average annual increase: 2011-2014</t>
  </si>
  <si>
    <t>Average annual increase: 2014-2020</t>
  </si>
  <si>
    <t>1:27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</si>
</sst>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"/>
    <numFmt numFmtId="166" formatCode="0.00000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3" fontId="2" fillId="0" borderId="1" xfId="0" applyNumberFormat="1" applyFont="1" applyBorder="1"/>
    <xf numFmtId="3" fontId="2" fillId="0" borderId="0" xfId="0" applyNumberFormat="1" applyFont="1"/>
    <xf numFmtId="164" fontId="2" fillId="0" borderId="1" xfId="0" applyNumberFormat="1" applyFont="1" applyBorder="1"/>
    <xf numFmtId="165" fontId="2" fillId="0" borderId="1" xfId="0" applyNumberFormat="1" applyFont="1" applyBorder="1"/>
    <xf numFmtId="3" fontId="3" fillId="0" borderId="1" xfId="0" applyNumberFormat="1" applyFont="1" applyBorder="1"/>
    <xf numFmtId="3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0" fillId="0" borderId="0" xfId="0" applyFont="1"/>
    <xf numFmtId="0" fontId="0" fillId="0" borderId="0" xfId="0" applyBorder="1"/>
    <xf numFmtId="0" fontId="2" fillId="0" borderId="0" xfId="0" applyFont="1" applyBorder="1"/>
    <xf numFmtId="166" fontId="0" fillId="0" borderId="0" xfId="0" applyNumberFormat="1"/>
    <xf numFmtId="166" fontId="2" fillId="0" borderId="0" xfId="0" applyNumberFormat="1" applyFont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/>
    <xf numFmtId="3" fontId="0" fillId="3" borderId="1" xfId="0" applyNumberFormat="1" applyFill="1" applyBorder="1"/>
    <xf numFmtId="167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3" fontId="0" fillId="0" borderId="2" xfId="0" applyNumberFormat="1" applyBorder="1"/>
    <xf numFmtId="3" fontId="2" fillId="0" borderId="2" xfId="0" applyNumberFormat="1" applyFont="1" applyBorder="1"/>
    <xf numFmtId="164" fontId="2" fillId="0" borderId="2" xfId="0" applyNumberFormat="1" applyFont="1" applyBorder="1"/>
    <xf numFmtId="165" fontId="2" fillId="0" borderId="2" xfId="0" applyNumberFormat="1" applyFont="1" applyBorder="1"/>
    <xf numFmtId="3" fontId="0" fillId="3" borderId="2" xfId="0" applyNumberFormat="1" applyFill="1" applyBorder="1"/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3" fontId="0" fillId="0" borderId="3" xfId="0" applyNumberFormat="1" applyBorder="1"/>
    <xf numFmtId="3" fontId="2" fillId="0" borderId="3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7" fontId="0" fillId="0" borderId="0" xfId="0" applyNumberFormat="1" applyFont="1"/>
    <xf numFmtId="167" fontId="0" fillId="0" borderId="1" xfId="0" applyNumberFormat="1" applyFont="1" applyBorder="1"/>
    <xf numFmtId="167" fontId="5" fillId="0" borderId="1" xfId="0" applyNumberFormat="1" applyFont="1" applyBorder="1"/>
    <xf numFmtId="3" fontId="2" fillId="0" borderId="4" xfId="0" applyNumberFormat="1" applyFont="1" applyBorder="1"/>
    <xf numFmtId="3" fontId="0" fillId="0" borderId="5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167" fontId="0" fillId="0" borderId="0" xfId="0" applyNumberFormat="1" applyFont="1" applyBorder="1"/>
    <xf numFmtId="9" fontId="0" fillId="0" borderId="1" xfId="0" applyNumberFormat="1" applyFill="1" applyBorder="1"/>
    <xf numFmtId="9" fontId="0" fillId="0" borderId="2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3" borderId="0" xfId="0" applyFont="1" applyFill="1"/>
    <xf numFmtId="0" fontId="2" fillId="3" borderId="0" xfId="0" applyFont="1" applyFill="1"/>
    <xf numFmtId="167" fontId="3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9" fontId="2" fillId="0" borderId="1" xfId="0" applyNumberFormat="1" applyFont="1" applyBorder="1"/>
    <xf numFmtId="9" fontId="0" fillId="0" borderId="1" xfId="0" applyNumberFormat="1" applyBorder="1"/>
    <xf numFmtId="9" fontId="0" fillId="0" borderId="2" xfId="0" applyNumberFormat="1" applyBorder="1"/>
    <xf numFmtId="9" fontId="0" fillId="0" borderId="3" xfId="0" applyNumberFormat="1" applyBorder="1"/>
    <xf numFmtId="9" fontId="2" fillId="0" borderId="2" xfId="0" applyNumberFormat="1" applyFont="1" applyBorder="1"/>
    <xf numFmtId="9" fontId="2" fillId="0" borderId="3" xfId="0" applyNumberFormat="1" applyFont="1" applyBorder="1"/>
    <xf numFmtId="1" fontId="0" fillId="0" borderId="0" xfId="0" applyNumberFormat="1"/>
    <xf numFmtId="1" fontId="6" fillId="0" borderId="1" xfId="0" applyNumberFormat="1" applyFont="1" applyBorder="1" applyAlignment="1">
      <alignment horizontal="right"/>
    </xf>
    <xf numFmtId="3" fontId="0" fillId="0" borderId="3" xfId="0" applyNumberFormat="1" applyFill="1" applyBorder="1"/>
    <xf numFmtId="3" fontId="0" fillId="0" borderId="1" xfId="0" applyNumberFormat="1" applyFill="1" applyBorder="1"/>
    <xf numFmtId="0" fontId="0" fillId="4" borderId="1" xfId="0" applyFill="1" applyBorder="1"/>
    <xf numFmtId="167" fontId="2" fillId="0" borderId="3" xfId="0" applyNumberFormat="1" applyFont="1" applyBorder="1" applyAlignment="1">
      <alignment horizontal="center"/>
    </xf>
    <xf numFmtId="167" fontId="2" fillId="0" borderId="3" xfId="0" applyNumberFormat="1" applyFont="1" applyBorder="1"/>
    <xf numFmtId="167" fontId="0" fillId="0" borderId="3" xfId="0" applyNumberFormat="1" applyFont="1" applyBorder="1"/>
    <xf numFmtId="9" fontId="0" fillId="0" borderId="1" xfId="0" applyNumberFormat="1" applyFont="1" applyBorder="1" applyAlignment="1">
      <alignment horizontal="right" wrapText="1"/>
    </xf>
    <xf numFmtId="9" fontId="0" fillId="0" borderId="1" xfId="0" applyNumberFormat="1" applyFont="1" applyBorder="1" applyAlignment="1">
      <alignment wrapText="1"/>
    </xf>
    <xf numFmtId="1" fontId="2" fillId="0" borderId="0" xfId="0" applyNumberFormat="1" applyFont="1"/>
    <xf numFmtId="167" fontId="2" fillId="0" borderId="2" xfId="0" applyNumberFormat="1" applyFont="1" applyBorder="1"/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9" fontId="0" fillId="3" borderId="1" xfId="0" applyNumberFormat="1" applyFont="1" applyFill="1" applyBorder="1" applyAlignment="1">
      <alignment horizontal="right"/>
    </xf>
    <xf numFmtId="9" fontId="0" fillId="3" borderId="2" xfId="0" applyNumberFormat="1" applyFont="1" applyFill="1" applyBorder="1" applyAlignment="1">
      <alignment horizontal="right"/>
    </xf>
    <xf numFmtId="9" fontId="2" fillId="3" borderId="1" xfId="0" applyNumberFormat="1" applyFont="1" applyFill="1" applyBorder="1" applyAlignment="1">
      <alignment horizontal="right"/>
    </xf>
    <xf numFmtId="9" fontId="2" fillId="3" borderId="2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2" fillId="3" borderId="1" xfId="0" quotePrefix="1" applyNumberFormat="1" applyFont="1" applyFill="1" applyBorder="1" applyAlignment="1">
      <alignment horizontal="right"/>
    </xf>
    <xf numFmtId="3" fontId="2" fillId="3" borderId="2" xfId="0" quotePrefix="1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9" fontId="2" fillId="0" borderId="2" xfId="0" applyNumberFormat="1" applyFont="1" applyBorder="1" applyAlignment="1">
      <alignment horizontal="right"/>
    </xf>
    <xf numFmtId="9" fontId="0" fillId="0" borderId="1" xfId="0" applyNumberFormat="1" applyBorder="1" applyAlignment="1">
      <alignment horizontal="right"/>
    </xf>
    <xf numFmtId="9" fontId="0" fillId="0" borderId="2" xfId="0" applyNumberForma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7" fontId="0" fillId="0" borderId="1" xfId="0" applyNumberFormat="1" applyFont="1" applyBorder="1" applyAlignment="1">
      <alignment horizontal="right"/>
    </xf>
    <xf numFmtId="167" fontId="0" fillId="0" borderId="2" xfId="0" applyNumberFormat="1" applyFont="1" applyBorder="1" applyAlignment="1">
      <alignment horizontal="right"/>
    </xf>
    <xf numFmtId="167" fontId="2" fillId="3" borderId="1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67" fontId="0" fillId="3" borderId="1" xfId="0" applyNumberFormat="1" applyFont="1" applyFill="1" applyBorder="1" applyAlignment="1">
      <alignment horizontal="right" wrapText="1"/>
    </xf>
    <xf numFmtId="0" fontId="0" fillId="3" borderId="3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167" fontId="0" fillId="3" borderId="1" xfId="0" applyNumberFormat="1" applyFont="1" applyFill="1" applyBorder="1" applyAlignment="1">
      <alignment horizontal="right"/>
    </xf>
    <xf numFmtId="3" fontId="0" fillId="3" borderId="3" xfId="0" applyNumberFormat="1" applyFill="1" applyBorder="1" applyAlignment="1">
      <alignment horizontal="right"/>
    </xf>
    <xf numFmtId="167" fontId="2" fillId="3" borderId="1" xfId="0" applyNumberFormat="1" applyFont="1" applyFill="1" applyBorder="1" applyAlignment="1">
      <alignment horizontal="right"/>
    </xf>
    <xf numFmtId="167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167" fontId="3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9" fontId="2" fillId="3" borderId="3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right"/>
    </xf>
    <xf numFmtId="9" fontId="2" fillId="3" borderId="3" xfId="0" applyNumberFormat="1" applyFont="1" applyFill="1" applyBorder="1" applyAlignment="1">
      <alignment horizontal="right"/>
    </xf>
    <xf numFmtId="9" fontId="0" fillId="3" borderId="1" xfId="0" applyNumberFormat="1" applyFont="1" applyFill="1" applyBorder="1" applyAlignment="1">
      <alignment horizontal="right" wrapText="1"/>
    </xf>
    <xf numFmtId="9" fontId="2" fillId="3" borderId="1" xfId="0" applyNumberFormat="1" applyFont="1" applyFill="1" applyBorder="1" applyAlignment="1">
      <alignment horizontal="right" wrapText="1"/>
    </xf>
    <xf numFmtId="9" fontId="2" fillId="0" borderId="3" xfId="0" applyNumberFormat="1" applyFon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5"/>
  <sheetViews>
    <sheetView tabSelected="1" topLeftCell="A52" zoomScaleNormal="100" workbookViewId="0">
      <selection activeCell="G179" sqref="G179"/>
    </sheetView>
  </sheetViews>
  <sheetFormatPr defaultRowHeight="15" x14ac:dyDescent="0.25"/>
  <cols>
    <col min="1" max="1" width="9.28515625" bestFit="1" customWidth="1"/>
    <col min="2" max="2" width="51.42578125" customWidth="1"/>
    <col min="3" max="3" width="11.5703125" customWidth="1"/>
    <col min="4" max="4" width="9.85546875" bestFit="1" customWidth="1"/>
    <col min="5" max="5" width="11.5703125" customWidth="1"/>
    <col min="6" max="6" width="10" customWidth="1"/>
    <col min="7" max="7" width="13.85546875" style="44" customWidth="1"/>
    <col min="8" max="8" width="10.85546875" bestFit="1" customWidth="1"/>
    <col min="9" max="9" width="12.7109375" customWidth="1"/>
    <col min="10" max="10" width="15" customWidth="1"/>
    <col min="11" max="11" width="12.42578125" customWidth="1"/>
    <col min="12" max="12" width="11.5703125" bestFit="1" customWidth="1"/>
  </cols>
  <sheetData>
    <row r="1" spans="1:11" x14ac:dyDescent="0.25">
      <c r="A1" s="1" t="s">
        <v>0</v>
      </c>
    </row>
    <row r="3" spans="1:11" x14ac:dyDescent="0.25">
      <c r="A3" s="1" t="s">
        <v>1</v>
      </c>
    </row>
    <row r="5" spans="1:11" s="1" customFormat="1" ht="60" x14ac:dyDescent="0.25">
      <c r="A5" s="2" t="s">
        <v>2</v>
      </c>
      <c r="B5" s="3" t="s">
        <v>3</v>
      </c>
      <c r="C5" s="4">
        <v>2011</v>
      </c>
      <c r="D5" s="4">
        <v>2012</v>
      </c>
      <c r="E5" s="29">
        <v>2013</v>
      </c>
      <c r="F5" s="50" t="s">
        <v>60</v>
      </c>
      <c r="G5" s="28" t="s">
        <v>110</v>
      </c>
      <c r="H5" s="37">
        <v>2017</v>
      </c>
      <c r="I5" s="49" t="s">
        <v>59</v>
      </c>
      <c r="J5" s="4">
        <v>2020</v>
      </c>
      <c r="K5" s="28" t="s">
        <v>111</v>
      </c>
    </row>
    <row r="6" spans="1:11" s="1" customFormat="1" x14ac:dyDescent="0.25">
      <c r="A6" s="5"/>
      <c r="B6" s="5"/>
      <c r="C6" s="6"/>
      <c r="D6" s="6"/>
      <c r="E6" s="30"/>
      <c r="F6" s="30"/>
      <c r="G6" s="25"/>
      <c r="H6" s="38"/>
      <c r="I6" s="6"/>
      <c r="J6" s="6"/>
      <c r="K6" s="25"/>
    </row>
    <row r="7" spans="1:11" s="1" customFormat="1" x14ac:dyDescent="0.25">
      <c r="A7" s="6">
        <v>1</v>
      </c>
      <c r="B7" s="5" t="s">
        <v>87</v>
      </c>
      <c r="C7" s="5"/>
      <c r="D7" s="5"/>
      <c r="E7" s="31"/>
      <c r="F7" s="31"/>
      <c r="G7" s="26"/>
      <c r="H7" s="39"/>
      <c r="I7" s="5"/>
      <c r="J7" s="5"/>
      <c r="K7" s="26"/>
    </row>
    <row r="8" spans="1:11" x14ac:dyDescent="0.25">
      <c r="A8" s="7"/>
      <c r="B8" s="8" t="s">
        <v>4</v>
      </c>
      <c r="C8" s="9">
        <v>24358</v>
      </c>
      <c r="D8" s="9">
        <v>24837</v>
      </c>
      <c r="E8" s="32">
        <v>25301</v>
      </c>
      <c r="F8" s="32">
        <v>26216</v>
      </c>
      <c r="G8" s="46">
        <f>(POWER(F8/C8,1/3))-1</f>
        <v>2.4805861507398497E-2</v>
      </c>
      <c r="H8" s="40">
        <v>28731</v>
      </c>
      <c r="I8" s="9">
        <v>30229.631759202381</v>
      </c>
      <c r="J8" s="9">
        <v>30360</v>
      </c>
      <c r="K8" s="46">
        <f>(POWER(J8/F8,1/6))-1</f>
        <v>2.4760923674105761E-2</v>
      </c>
    </row>
    <row r="9" spans="1:11" x14ac:dyDescent="0.25">
      <c r="A9" s="7"/>
      <c r="B9" s="8" t="s">
        <v>5</v>
      </c>
      <c r="C9" s="9">
        <v>1898</v>
      </c>
      <c r="D9" s="9">
        <f>1759+1</f>
        <v>1760</v>
      </c>
      <c r="E9" s="32">
        <f>1056+4</f>
        <v>1060</v>
      </c>
      <c r="F9" s="32">
        <f>293+4</f>
        <v>297</v>
      </c>
      <c r="G9" s="46">
        <f t="shared" ref="G9:G10" si="0">(POWER(F9/C9,1/3))-1</f>
        <v>-0.46112659913122223</v>
      </c>
      <c r="H9" s="40">
        <v>304</v>
      </c>
      <c r="I9" s="9">
        <v>285</v>
      </c>
      <c r="J9" s="9">
        <v>290</v>
      </c>
      <c r="K9" s="46">
        <f t="shared" ref="K9:K10" si="1">(POWER(J9/F9,1/6))-1</f>
        <v>-3.9673119781459265E-3</v>
      </c>
    </row>
    <row r="10" spans="1:11" s="1" customFormat="1" x14ac:dyDescent="0.25">
      <c r="A10" s="6"/>
      <c r="B10" s="5" t="s">
        <v>6</v>
      </c>
      <c r="C10" s="11">
        <f>SUM(C8:C9)</f>
        <v>26256</v>
      </c>
      <c r="D10" s="11">
        <f>SUM(D8:D9)</f>
        <v>26597</v>
      </c>
      <c r="E10" s="33">
        <f>SUM(E8:E9)</f>
        <v>26361</v>
      </c>
      <c r="F10" s="33">
        <f>SUM(F8:F9)</f>
        <v>26513</v>
      </c>
      <c r="G10" s="70">
        <f t="shared" si="0"/>
        <v>3.2521582938223048E-3</v>
      </c>
      <c r="H10" s="41">
        <f>SUM(H8:H9)</f>
        <v>29035</v>
      </c>
      <c r="I10" s="11">
        <f>SUM(I8:I9)</f>
        <v>30514.631759202381</v>
      </c>
      <c r="J10" s="11">
        <f>SUM(J8:J9)</f>
        <v>30650</v>
      </c>
      <c r="K10" s="70">
        <f t="shared" si="1"/>
        <v>2.446061751868811E-2</v>
      </c>
    </row>
    <row r="11" spans="1:11" x14ac:dyDescent="0.25">
      <c r="A11" s="7"/>
      <c r="B11" s="8"/>
      <c r="C11" s="9"/>
      <c r="D11" s="9"/>
      <c r="E11" s="32"/>
      <c r="F11" s="32"/>
      <c r="G11" s="45"/>
      <c r="H11" s="40"/>
      <c r="I11" s="9"/>
      <c r="J11" s="9"/>
      <c r="K11" s="45"/>
    </row>
    <row r="12" spans="1:11" s="1" customFormat="1" x14ac:dyDescent="0.25">
      <c r="A12" s="6">
        <v>2</v>
      </c>
      <c r="B12" s="5" t="s">
        <v>7</v>
      </c>
      <c r="C12" s="13"/>
      <c r="D12" s="13"/>
      <c r="E12" s="34"/>
      <c r="F12" s="34"/>
      <c r="G12" s="26"/>
      <c r="H12" s="42"/>
      <c r="I12" s="13"/>
      <c r="J12" s="13"/>
      <c r="K12" s="26"/>
    </row>
    <row r="13" spans="1:11" x14ac:dyDescent="0.25">
      <c r="A13" s="7"/>
      <c r="B13" s="8" t="s">
        <v>8</v>
      </c>
      <c r="C13" s="9">
        <v>19389.573</v>
      </c>
      <c r="D13" s="9">
        <v>19445.127</v>
      </c>
      <c r="E13" s="32">
        <v>19664.483</v>
      </c>
      <c r="F13" s="32">
        <v>20005.784</v>
      </c>
      <c r="G13" s="46">
        <f t="shared" ref="G13" si="2">(POWER(F13/C13,1/3))-1</f>
        <v>1.0483229479554268E-2</v>
      </c>
      <c r="H13" s="40">
        <v>22560</v>
      </c>
      <c r="I13" s="9">
        <v>23679.417055240996</v>
      </c>
      <c r="J13" s="9">
        <v>23784</v>
      </c>
      <c r="K13" s="46">
        <f>(POWER(J13/F13,1/6))-1</f>
        <v>2.9251606307951539E-2</v>
      </c>
    </row>
    <row r="14" spans="1:11" x14ac:dyDescent="0.25">
      <c r="A14" s="7"/>
      <c r="B14" s="8"/>
      <c r="C14" s="9"/>
      <c r="D14" s="9"/>
      <c r="E14" s="32"/>
      <c r="F14" s="32"/>
      <c r="G14" s="45"/>
      <c r="H14" s="40"/>
      <c r="I14" s="9"/>
      <c r="J14" s="9"/>
      <c r="K14" s="45"/>
    </row>
    <row r="15" spans="1:11" s="1" customFormat="1" x14ac:dyDescent="0.25">
      <c r="A15" s="6">
        <v>3</v>
      </c>
      <c r="B15" s="5" t="s">
        <v>88</v>
      </c>
      <c r="C15" s="11"/>
      <c r="D15" s="11"/>
      <c r="E15" s="35"/>
      <c r="F15" s="35"/>
      <c r="G15" s="26"/>
      <c r="H15" s="41"/>
      <c r="I15" s="11"/>
      <c r="J15" s="11"/>
      <c r="K15" s="26"/>
    </row>
    <row r="16" spans="1:11" x14ac:dyDescent="0.25">
      <c r="A16" s="7"/>
      <c r="B16" s="8" t="s">
        <v>9</v>
      </c>
      <c r="C16" s="9">
        <v>541</v>
      </c>
      <c r="D16" s="9">
        <v>589</v>
      </c>
      <c r="E16" s="32">
        <v>593</v>
      </c>
      <c r="F16" s="32">
        <v>668</v>
      </c>
      <c r="G16" s="46">
        <f t="shared" ref="G16:G19" si="3">(POWER(F16/C16,1/3))-1</f>
        <v>7.2818858464290814E-2</v>
      </c>
      <c r="H16" s="40">
        <v>663</v>
      </c>
      <c r="I16" s="9">
        <v>698.30703550194687</v>
      </c>
      <c r="J16" s="9">
        <v>701</v>
      </c>
      <c r="K16" s="46">
        <f>(POWER(J16/F16,1/6))-1</f>
        <v>8.0689992227305218E-3</v>
      </c>
    </row>
    <row r="17" spans="1:12" x14ac:dyDescent="0.25">
      <c r="A17" s="7"/>
      <c r="B17" s="8" t="s">
        <v>10</v>
      </c>
      <c r="C17" s="9">
        <f>5815+16421</f>
        <v>22236</v>
      </c>
      <c r="D17" s="9">
        <f>5164+17079</f>
        <v>22243</v>
      </c>
      <c r="E17" s="32">
        <f>5226+16823</f>
        <v>22049</v>
      </c>
      <c r="F17" s="32">
        <f>5975+16129</f>
        <v>22104</v>
      </c>
      <c r="G17" s="46">
        <f t="shared" si="3"/>
        <v>-1.982701668476472E-3</v>
      </c>
      <c r="H17" s="40">
        <v>23802</v>
      </c>
      <c r="I17" s="9">
        <v>24861.258302488513</v>
      </c>
      <c r="J17" s="9">
        <v>24972</v>
      </c>
      <c r="K17" s="46">
        <f t="shared" ref="K17:K19" si="4">(POWER(J17/F17,1/6))-1</f>
        <v>2.0540887146771158E-2</v>
      </c>
    </row>
    <row r="18" spans="1:12" x14ac:dyDescent="0.25">
      <c r="A18" s="7"/>
      <c r="B18" s="8" t="s">
        <v>11</v>
      </c>
      <c r="C18" s="9">
        <v>3479</v>
      </c>
      <c r="D18" s="9">
        <v>3765</v>
      </c>
      <c r="E18" s="32">
        <v>3719</v>
      </c>
      <c r="F18" s="32">
        <v>3741</v>
      </c>
      <c r="G18" s="46">
        <f t="shared" si="3"/>
        <v>2.4497948647667966E-2</v>
      </c>
      <c r="H18" s="40">
        <v>4570</v>
      </c>
      <c r="I18" s="9">
        <v>4955.0664212119191</v>
      </c>
      <c r="J18" s="9">
        <v>4977</v>
      </c>
      <c r="K18" s="46">
        <f t="shared" si="4"/>
        <v>4.8729107659907456E-2</v>
      </c>
    </row>
    <row r="19" spans="1:12" s="1" customFormat="1" x14ac:dyDescent="0.25">
      <c r="A19" s="6"/>
      <c r="B19" s="5" t="s">
        <v>12</v>
      </c>
      <c r="C19" s="11">
        <f>SUM(C16:C18)</f>
        <v>26256</v>
      </c>
      <c r="D19" s="11">
        <f>SUM(D16:D18)</f>
        <v>26597</v>
      </c>
      <c r="E19" s="33">
        <f>SUM(E16:E18)</f>
        <v>26361</v>
      </c>
      <c r="F19" s="33">
        <f>SUM(F16:F18)</f>
        <v>26513</v>
      </c>
      <c r="G19" s="70">
        <f t="shared" si="3"/>
        <v>3.2521582938223048E-3</v>
      </c>
      <c r="H19" s="41">
        <f>SUM(H16:H18)</f>
        <v>29035</v>
      </c>
      <c r="I19" s="11">
        <f>SUM(I16:I18)</f>
        <v>30514.631759202381</v>
      </c>
      <c r="J19" s="11">
        <f>SUM(J16:J18)</f>
        <v>30650</v>
      </c>
      <c r="K19" s="70">
        <f t="shared" si="4"/>
        <v>2.446061751868811E-2</v>
      </c>
    </row>
    <row r="20" spans="1:12" x14ac:dyDescent="0.25">
      <c r="A20" s="7"/>
      <c r="B20" s="8"/>
      <c r="C20" s="9"/>
      <c r="D20" s="9"/>
      <c r="E20" s="32"/>
      <c r="F20" s="32"/>
      <c r="G20" s="45"/>
      <c r="H20" s="40"/>
      <c r="I20" s="9"/>
      <c r="J20" s="9"/>
      <c r="K20" s="45"/>
    </row>
    <row r="21" spans="1:12" s="1" customFormat="1" ht="60" x14ac:dyDescent="0.25">
      <c r="A21" s="2" t="s">
        <v>2</v>
      </c>
      <c r="B21" s="3" t="s">
        <v>3</v>
      </c>
      <c r="C21" s="4">
        <v>2011</v>
      </c>
      <c r="D21" s="4">
        <v>2012</v>
      </c>
      <c r="E21" s="29">
        <v>2013</v>
      </c>
      <c r="F21" s="50" t="s">
        <v>60</v>
      </c>
      <c r="G21" s="28" t="s">
        <v>110</v>
      </c>
      <c r="H21" s="37">
        <v>2017</v>
      </c>
      <c r="I21" s="49" t="s">
        <v>59</v>
      </c>
      <c r="J21" s="4">
        <v>2020</v>
      </c>
      <c r="K21" s="28" t="s">
        <v>111</v>
      </c>
    </row>
    <row r="22" spans="1:12" s="1" customFormat="1" x14ac:dyDescent="0.25">
      <c r="A22" s="6">
        <v>4</v>
      </c>
      <c r="B22" s="5" t="s">
        <v>89</v>
      </c>
      <c r="C22" s="11"/>
      <c r="D22" s="11"/>
      <c r="E22" s="33"/>
      <c r="F22" s="33"/>
      <c r="G22" s="26"/>
      <c r="H22" s="41"/>
      <c r="I22" s="11"/>
      <c r="J22" s="11"/>
      <c r="K22" s="26"/>
    </row>
    <row r="23" spans="1:12" x14ac:dyDescent="0.25">
      <c r="A23" s="7"/>
      <c r="B23" s="5"/>
      <c r="C23" s="9"/>
      <c r="D23" s="9"/>
      <c r="E23" s="32"/>
      <c r="F23" s="32"/>
      <c r="G23" s="45"/>
      <c r="H23" s="40"/>
      <c r="I23" s="9"/>
      <c r="J23" s="9"/>
      <c r="K23" s="45"/>
    </row>
    <row r="24" spans="1:12" x14ac:dyDescent="0.25">
      <c r="A24" s="7"/>
      <c r="B24" s="8" t="s">
        <v>13</v>
      </c>
      <c r="C24" s="9">
        <v>682</v>
      </c>
      <c r="D24" s="9">
        <v>207</v>
      </c>
      <c r="E24" s="32">
        <v>218</v>
      </c>
      <c r="F24" s="32">
        <v>187</v>
      </c>
      <c r="G24" s="46">
        <f t="shared" ref="G24:G28" si="5">(POWER(F24/C24,1/3))-1</f>
        <v>-0.35034057416598552</v>
      </c>
      <c r="H24" s="40"/>
      <c r="I24" s="9"/>
      <c r="J24" s="9"/>
      <c r="K24" s="46"/>
    </row>
    <row r="25" spans="1:12" x14ac:dyDescent="0.25">
      <c r="A25" s="7"/>
      <c r="B25" s="8" t="s">
        <v>14</v>
      </c>
      <c r="C25" s="9">
        <v>138</v>
      </c>
      <c r="D25" s="9">
        <v>29</v>
      </c>
      <c r="E25" s="32">
        <v>2</v>
      </c>
      <c r="F25" s="32">
        <v>0</v>
      </c>
      <c r="G25" s="46">
        <f t="shared" si="5"/>
        <v>-1</v>
      </c>
      <c r="H25" s="40"/>
      <c r="I25" s="9"/>
      <c r="J25" s="9"/>
      <c r="K25" s="46"/>
    </row>
    <row r="26" spans="1:12" x14ac:dyDescent="0.25">
      <c r="A26" s="7"/>
      <c r="B26" s="8" t="s">
        <v>15</v>
      </c>
      <c r="C26" s="9">
        <v>136</v>
      </c>
      <c r="D26" s="9">
        <v>152</v>
      </c>
      <c r="E26" s="32">
        <v>285</v>
      </c>
      <c r="F26" s="32">
        <f>461+53</f>
        <v>514</v>
      </c>
      <c r="G26" s="46">
        <f t="shared" si="5"/>
        <v>0.55766742191117746</v>
      </c>
      <c r="H26" s="40">
        <v>1555</v>
      </c>
      <c r="I26" s="9">
        <v>1633</v>
      </c>
      <c r="J26" s="9">
        <v>1640.2910582840595</v>
      </c>
      <c r="K26" s="46">
        <f t="shared" ref="K26" si="6">(POWER(J26/F26,1/6))-1</f>
        <v>0.21336919924783038</v>
      </c>
    </row>
    <row r="27" spans="1:12" x14ac:dyDescent="0.25">
      <c r="A27" s="7"/>
      <c r="B27" s="8" t="s">
        <v>16</v>
      </c>
      <c r="C27" s="9">
        <v>1125</v>
      </c>
      <c r="D27" s="9">
        <v>1253</v>
      </c>
      <c r="E27" s="32">
        <v>813</v>
      </c>
      <c r="F27" s="32">
        <v>297</v>
      </c>
      <c r="G27" s="46">
        <f t="shared" si="5"/>
        <v>-0.35849313400083471</v>
      </c>
      <c r="H27" s="40"/>
      <c r="I27" s="9"/>
      <c r="J27" s="9"/>
      <c r="K27" s="46"/>
    </row>
    <row r="28" spans="1:12" x14ac:dyDescent="0.25">
      <c r="A28" s="7"/>
      <c r="B28" s="8" t="s">
        <v>17</v>
      </c>
      <c r="C28" s="9">
        <v>9347</v>
      </c>
      <c r="D28" s="9">
        <v>9438</v>
      </c>
      <c r="E28" s="32">
        <v>9458</v>
      </c>
      <c r="F28" s="32">
        <v>9184</v>
      </c>
      <c r="G28" s="46">
        <f t="shared" si="5"/>
        <v>-5.8470380214638018E-3</v>
      </c>
      <c r="H28" s="40"/>
      <c r="I28" s="9"/>
      <c r="J28" s="9"/>
      <c r="K28" s="46"/>
      <c r="L28" s="10"/>
    </row>
    <row r="29" spans="1:12" x14ac:dyDescent="0.25">
      <c r="A29" s="7"/>
      <c r="B29" s="8" t="s">
        <v>18</v>
      </c>
      <c r="C29" s="9"/>
      <c r="D29" s="9"/>
      <c r="E29" s="32">
        <v>24</v>
      </c>
      <c r="F29" s="32">
        <v>195</v>
      </c>
      <c r="G29" s="46"/>
      <c r="H29" s="40">
        <v>9568</v>
      </c>
      <c r="I29" s="9">
        <v>10052</v>
      </c>
      <c r="J29" s="9">
        <v>10096.880415108</v>
      </c>
      <c r="K29" s="46">
        <f t="shared" ref="K29:K37" si="7">(POWER(J29/F29,1/6))-1</f>
        <v>0.93059910361295972</v>
      </c>
    </row>
    <row r="30" spans="1:12" x14ac:dyDescent="0.25">
      <c r="A30" s="7"/>
      <c r="B30" s="8" t="s">
        <v>19</v>
      </c>
      <c r="C30" s="9"/>
      <c r="D30" s="9"/>
      <c r="E30" s="32">
        <v>33</v>
      </c>
      <c r="F30" s="32">
        <v>28</v>
      </c>
      <c r="G30" s="46"/>
      <c r="H30" s="40">
        <v>1465</v>
      </c>
      <c r="I30" s="9">
        <f>2122+175</f>
        <v>2297</v>
      </c>
      <c r="J30" s="9">
        <v>2307.2557017014601</v>
      </c>
      <c r="K30" s="46">
        <f t="shared" si="7"/>
        <v>1.0860415256180787</v>
      </c>
    </row>
    <row r="31" spans="1:12" s="1" customFormat="1" x14ac:dyDescent="0.25">
      <c r="A31" s="6"/>
      <c r="B31" s="5" t="s">
        <v>84</v>
      </c>
      <c r="C31" s="11">
        <f>SUM(C24:C30)</f>
        <v>11428</v>
      </c>
      <c r="D31" s="11">
        <f>SUM(D24:D30)</f>
        <v>11079</v>
      </c>
      <c r="E31" s="33">
        <f>SUM(E24:E30)</f>
        <v>10833</v>
      </c>
      <c r="F31" s="33">
        <f>SUM(F24:F30)</f>
        <v>10405</v>
      </c>
      <c r="G31" s="70">
        <f t="shared" ref="G31:G37" si="8">(POWER(F31/C31,1/3))-1</f>
        <v>-3.0776465730272484E-2</v>
      </c>
      <c r="H31" s="41">
        <f>SUM(H24:H30)</f>
        <v>12588</v>
      </c>
      <c r="I31" s="11">
        <v>13982</v>
      </c>
      <c r="J31" s="11">
        <f>SUM(J24:J30)</f>
        <v>14044.42717509352</v>
      </c>
      <c r="K31" s="70">
        <f t="shared" si="7"/>
        <v>5.1260446161705886E-2</v>
      </c>
      <c r="L31" s="12"/>
    </row>
    <row r="32" spans="1:12" x14ac:dyDescent="0.25">
      <c r="A32" s="7"/>
      <c r="B32" s="8" t="s">
        <v>20</v>
      </c>
      <c r="C32" s="9">
        <v>4474</v>
      </c>
      <c r="D32" s="9">
        <v>4467</v>
      </c>
      <c r="E32" s="32">
        <v>4614</v>
      </c>
      <c r="F32" s="32">
        <v>5023</v>
      </c>
      <c r="G32" s="46">
        <f t="shared" si="8"/>
        <v>3.9335431332866877E-2</v>
      </c>
      <c r="H32" s="40">
        <v>4602</v>
      </c>
      <c r="I32" s="9">
        <v>5053</v>
      </c>
      <c r="J32" s="9">
        <v>5075.5607578134432</v>
      </c>
      <c r="K32" s="46">
        <f t="shared" si="7"/>
        <v>1.7364472492451544E-3</v>
      </c>
    </row>
    <row r="33" spans="1:12" x14ac:dyDescent="0.25">
      <c r="A33" s="7"/>
      <c r="B33" s="8" t="s">
        <v>21</v>
      </c>
      <c r="C33" s="9">
        <v>852</v>
      </c>
      <c r="D33" s="9">
        <v>813</v>
      </c>
      <c r="E33" s="32">
        <v>757</v>
      </c>
      <c r="F33" s="32">
        <v>719</v>
      </c>
      <c r="G33" s="46">
        <f t="shared" si="8"/>
        <v>-5.5004446102112969E-2</v>
      </c>
      <c r="H33" s="40">
        <v>995</v>
      </c>
      <c r="I33" s="9">
        <v>1093</v>
      </c>
      <c r="J33" s="9">
        <v>1097.8800530952094</v>
      </c>
      <c r="K33" s="46">
        <f t="shared" si="7"/>
        <v>7.3093754829121504E-2</v>
      </c>
    </row>
    <row r="34" spans="1:12" x14ac:dyDescent="0.25">
      <c r="A34" s="7"/>
      <c r="B34" s="8" t="s">
        <v>22</v>
      </c>
      <c r="C34" s="9">
        <v>3724</v>
      </c>
      <c r="D34" s="9">
        <v>3888</v>
      </c>
      <c r="E34" s="32">
        <f>3796+161</f>
        <v>3957</v>
      </c>
      <c r="F34" s="32">
        <f>3823+349</f>
        <v>4172</v>
      </c>
      <c r="G34" s="46">
        <f t="shared" si="8"/>
        <v>3.8591767548768807E-2</v>
      </c>
      <c r="H34" s="40">
        <v>4311</v>
      </c>
      <c r="I34" s="9">
        <v>4733</v>
      </c>
      <c r="J34" s="9">
        <v>4754.1320139978279</v>
      </c>
      <c r="K34" s="46">
        <f t="shared" si="7"/>
        <v>2.2008457044279561E-2</v>
      </c>
    </row>
    <row r="35" spans="1:12" ht="15.75" customHeight="1" x14ac:dyDescent="0.25">
      <c r="A35" s="7"/>
      <c r="B35" s="8" t="s">
        <v>23</v>
      </c>
      <c r="C35" s="9">
        <v>1758</v>
      </c>
      <c r="D35" s="9">
        <v>1996</v>
      </c>
      <c r="E35" s="32">
        <v>1921</v>
      </c>
      <c r="F35" s="32">
        <v>1813</v>
      </c>
      <c r="G35" s="46">
        <f t="shared" si="8"/>
        <v>1.0321614978411331E-2</v>
      </c>
      <c r="H35" s="40">
        <v>1306</v>
      </c>
      <c r="I35" s="9"/>
      <c r="J35" s="9"/>
      <c r="K35" s="46">
        <f t="shared" si="7"/>
        <v>-1</v>
      </c>
    </row>
    <row r="36" spans="1:12" s="1" customFormat="1" x14ac:dyDescent="0.25">
      <c r="A36" s="6"/>
      <c r="B36" s="5" t="s">
        <v>85</v>
      </c>
      <c r="C36" s="11">
        <f>SUM(C32:C35)</f>
        <v>10808</v>
      </c>
      <c r="D36" s="11">
        <f>SUM(D32:D35)</f>
        <v>11164</v>
      </c>
      <c r="E36" s="33">
        <f>SUM(E32:E35)</f>
        <v>11249</v>
      </c>
      <c r="F36" s="33">
        <f>SUM(F32:F35)</f>
        <v>11727</v>
      </c>
      <c r="G36" s="70">
        <f t="shared" si="8"/>
        <v>2.7575788679732538E-2</v>
      </c>
      <c r="H36" s="41">
        <f>SUM(H32:H35)</f>
        <v>11214</v>
      </c>
      <c r="I36" s="47">
        <v>10879</v>
      </c>
      <c r="J36" s="11">
        <f>SUM(J32:J35)</f>
        <v>10927.572824906481</v>
      </c>
      <c r="K36" s="70">
        <f t="shared" si="7"/>
        <v>-1.1698478309283944E-2</v>
      </c>
    </row>
    <row r="37" spans="1:12" s="1" customFormat="1" x14ac:dyDescent="0.25">
      <c r="A37" s="6"/>
      <c r="B37" s="5" t="s">
        <v>24</v>
      </c>
      <c r="C37" s="11">
        <f>SUM(C36,C31)</f>
        <v>22236</v>
      </c>
      <c r="D37" s="11">
        <f>SUM(D36,D31)</f>
        <v>22243</v>
      </c>
      <c r="E37" s="33">
        <f>SUM(E31,E36)</f>
        <v>22082</v>
      </c>
      <c r="F37" s="33">
        <f>SUM(F31,F36)</f>
        <v>22132</v>
      </c>
      <c r="G37" s="70">
        <f t="shared" si="8"/>
        <v>-1.5614703197984747E-3</v>
      </c>
      <c r="H37" s="41">
        <f>SUM(H31,H36)</f>
        <v>23802</v>
      </c>
      <c r="I37" s="80">
        <f>SUM(I31,I36)</f>
        <v>24861</v>
      </c>
      <c r="J37" s="11">
        <v>24972</v>
      </c>
      <c r="K37" s="70">
        <f t="shared" si="7"/>
        <v>2.0325586378624916E-2</v>
      </c>
    </row>
    <row r="38" spans="1:12" x14ac:dyDescent="0.25">
      <c r="A38" s="7"/>
      <c r="B38" s="8"/>
      <c r="C38" s="9"/>
      <c r="D38" s="9"/>
      <c r="E38" s="32"/>
      <c r="F38" s="32"/>
      <c r="G38" s="45"/>
      <c r="H38" s="40"/>
      <c r="I38" s="48"/>
      <c r="J38" s="9"/>
      <c r="K38" s="45"/>
    </row>
    <row r="39" spans="1:12" s="1" customFormat="1" x14ac:dyDescent="0.25">
      <c r="A39" s="6">
        <v>5</v>
      </c>
      <c r="B39" s="5" t="s">
        <v>90</v>
      </c>
      <c r="C39" s="11"/>
      <c r="D39" s="11"/>
      <c r="E39" s="35"/>
      <c r="F39" s="35"/>
      <c r="G39" s="26"/>
      <c r="H39" s="41"/>
      <c r="I39" s="11"/>
      <c r="J39" s="11"/>
      <c r="K39" s="26"/>
    </row>
    <row r="40" spans="1:12" s="1" customFormat="1" x14ac:dyDescent="0.25">
      <c r="A40" s="6"/>
      <c r="B40" s="5"/>
      <c r="C40" s="11"/>
      <c r="D40" s="11"/>
      <c r="E40" s="33"/>
      <c r="F40" s="33"/>
      <c r="G40" s="26"/>
      <c r="H40" s="41"/>
      <c r="I40" s="11"/>
      <c r="J40" s="11"/>
      <c r="K40" s="26"/>
    </row>
    <row r="41" spans="1:12" x14ac:dyDescent="0.25">
      <c r="A41" s="7"/>
      <c r="B41" s="8" t="s">
        <v>25</v>
      </c>
      <c r="C41" s="9">
        <v>173</v>
      </c>
      <c r="D41" s="9">
        <f>167+16</f>
        <v>183</v>
      </c>
      <c r="E41" s="32">
        <f>161+57</f>
        <v>218</v>
      </c>
      <c r="F41" s="32">
        <f>200+112</f>
        <v>312</v>
      </c>
      <c r="G41" s="46">
        <f t="shared" ref="G41:G48" si="9">(POWER(F41/C41,1/3))-1</f>
        <v>0.21722116980344675</v>
      </c>
      <c r="H41" s="40">
        <v>302</v>
      </c>
      <c r="I41" s="9">
        <v>326</v>
      </c>
      <c r="J41" s="9">
        <v>328</v>
      </c>
      <c r="K41" s="46">
        <f t="shared" ref="K41:K44" si="10">(POWER(J41/F41,1/6))-1</f>
        <v>8.3699035049038528E-3</v>
      </c>
    </row>
    <row r="42" spans="1:12" x14ac:dyDescent="0.25">
      <c r="A42" s="7"/>
      <c r="B42" s="8" t="s">
        <v>26</v>
      </c>
      <c r="C42" s="9">
        <f>1009+1</f>
        <v>1010</v>
      </c>
      <c r="D42" s="9">
        <f>1065+37</f>
        <v>1102</v>
      </c>
      <c r="E42" s="32">
        <f>906+32</f>
        <v>938</v>
      </c>
      <c r="F42" s="32">
        <f>853+83</f>
        <v>936</v>
      </c>
      <c r="G42" s="46">
        <f t="shared" si="9"/>
        <v>-2.5044429544243685E-2</v>
      </c>
      <c r="H42" s="40">
        <v>1315</v>
      </c>
      <c r="I42" s="9">
        <v>1413</v>
      </c>
      <c r="J42" s="9">
        <v>1419.2546380195602</v>
      </c>
      <c r="K42" s="46">
        <f t="shared" si="10"/>
        <v>7.1841937680884982E-2</v>
      </c>
      <c r="L42" s="10"/>
    </row>
    <row r="43" spans="1:12" x14ac:dyDescent="0.25">
      <c r="A43" s="7"/>
      <c r="B43" s="8" t="s">
        <v>27</v>
      </c>
      <c r="C43" s="9">
        <v>1359</v>
      </c>
      <c r="D43" s="9">
        <v>1500</v>
      </c>
      <c r="E43" s="32">
        <v>1517</v>
      </c>
      <c r="F43" s="32">
        <v>1398</v>
      </c>
      <c r="G43" s="46">
        <f t="shared" si="9"/>
        <v>9.4757831696341555E-3</v>
      </c>
      <c r="H43" s="40">
        <v>1712</v>
      </c>
      <c r="I43" s="9">
        <v>1878</v>
      </c>
      <c r="J43" s="9">
        <v>1886.3129583869313</v>
      </c>
      <c r="K43" s="46">
        <f t="shared" si="10"/>
        <v>5.1197766514780252E-2</v>
      </c>
    </row>
    <row r="44" spans="1:12" x14ac:dyDescent="0.25">
      <c r="A44" s="7"/>
      <c r="B44" s="8" t="s">
        <v>28</v>
      </c>
      <c r="C44" s="9">
        <v>496</v>
      </c>
      <c r="D44" s="9">
        <v>528</v>
      </c>
      <c r="E44" s="32">
        <v>559</v>
      </c>
      <c r="F44" s="32">
        <v>544</v>
      </c>
      <c r="G44" s="46">
        <f t="shared" si="9"/>
        <v>3.1270055989971013E-2</v>
      </c>
      <c r="H44" s="40">
        <v>681</v>
      </c>
      <c r="I44" s="9">
        <v>694</v>
      </c>
      <c r="J44" s="9">
        <v>697.07198781710883</v>
      </c>
      <c r="K44" s="46">
        <f t="shared" si="10"/>
        <v>4.2188928419236271E-2</v>
      </c>
    </row>
    <row r="45" spans="1:12" x14ac:dyDescent="0.25">
      <c r="A45" s="7"/>
      <c r="B45" s="8" t="s">
        <v>29</v>
      </c>
      <c r="C45" s="54">
        <f>C44/C46</f>
        <v>0.26738544474393533</v>
      </c>
      <c r="D45" s="54">
        <f>D44/D46</f>
        <v>0.26035502958579881</v>
      </c>
      <c r="E45" s="55">
        <f>E44/E46</f>
        <v>0.26926782273603084</v>
      </c>
      <c r="F45" s="55">
        <f>F44/F46</f>
        <v>0.28012358393408859</v>
      </c>
      <c r="G45" s="45"/>
      <c r="H45" s="55">
        <f>H44/H46</f>
        <v>0.28458002507312996</v>
      </c>
      <c r="I45" s="55">
        <f>I44/I46</f>
        <v>0.26978243871822388</v>
      </c>
      <c r="J45" s="9"/>
      <c r="K45" s="46"/>
      <c r="L45" s="10"/>
    </row>
    <row r="46" spans="1:12" x14ac:dyDescent="0.25">
      <c r="A46" s="7"/>
      <c r="B46" s="8" t="s">
        <v>30</v>
      </c>
      <c r="C46" s="9">
        <f>1692+163+0</f>
        <v>1855</v>
      </c>
      <c r="D46" s="9">
        <f>1861+166+1</f>
        <v>2028</v>
      </c>
      <c r="E46" s="32">
        <f>1890+165+21</f>
        <v>2076</v>
      </c>
      <c r="F46" s="32">
        <f>1716+175+51</f>
        <v>1942</v>
      </c>
      <c r="G46" s="46">
        <f t="shared" si="9"/>
        <v>1.5395194873301099E-2</v>
      </c>
      <c r="H46" s="40">
        <v>2393</v>
      </c>
      <c r="I46" s="9">
        <v>2572.4432001478535</v>
      </c>
      <c r="J46" s="9">
        <f>SUM(J43:J44)</f>
        <v>2583.3849462040403</v>
      </c>
      <c r="K46" s="46">
        <f t="shared" ref="K46:K48" si="11">(POWER(J46/F46,1/6))-1</f>
        <v>4.8712995685379568E-2</v>
      </c>
    </row>
    <row r="47" spans="1:12" x14ac:dyDescent="0.25">
      <c r="A47" s="7"/>
      <c r="B47" s="8" t="s">
        <v>31</v>
      </c>
      <c r="C47" s="9">
        <f>380+59+2</f>
        <v>441</v>
      </c>
      <c r="D47" s="9">
        <f>431+10+11</f>
        <v>452</v>
      </c>
      <c r="E47" s="32">
        <f>416+13+25</f>
        <v>454</v>
      </c>
      <c r="F47" s="32">
        <f>479+16+28</f>
        <v>523</v>
      </c>
      <c r="G47" s="46">
        <f t="shared" si="9"/>
        <v>5.8492291974516109E-2</v>
      </c>
      <c r="H47" s="40">
        <v>560</v>
      </c>
      <c r="I47" s="9">
        <v>643.2775305169298</v>
      </c>
      <c r="J47" s="9">
        <v>646.12499555550016</v>
      </c>
      <c r="K47" s="46">
        <f t="shared" si="11"/>
        <v>3.5863369165869186E-2</v>
      </c>
    </row>
    <row r="48" spans="1:12" s="1" customFormat="1" x14ac:dyDescent="0.25">
      <c r="A48" s="6"/>
      <c r="B48" s="5" t="s">
        <v>32</v>
      </c>
      <c r="C48" s="11">
        <f>SUM(C41,C42,C46,C47)</f>
        <v>3479</v>
      </c>
      <c r="D48" s="11">
        <f>SUM(D41,D42,D46,D47)</f>
        <v>3765</v>
      </c>
      <c r="E48" s="33">
        <f>SUM(E41,E42,E46,E47)</f>
        <v>3686</v>
      </c>
      <c r="F48" s="33">
        <f>SUM(F41,F42,F46,F47)</f>
        <v>3713</v>
      </c>
      <c r="G48" s="70">
        <f t="shared" si="9"/>
        <v>2.1935549152856337E-2</v>
      </c>
      <c r="H48" s="41">
        <f>SUM(H41,H42,H46,H47)</f>
        <v>4570</v>
      </c>
      <c r="I48" s="11">
        <v>4955.0664212119191</v>
      </c>
      <c r="J48" s="11">
        <f>SUM(J41,J42,J43,J44,J47)</f>
        <v>4976.7645797791001</v>
      </c>
      <c r="K48" s="70">
        <f t="shared" si="11"/>
        <v>5.0034797036601519E-2</v>
      </c>
    </row>
    <row r="49" spans="1:13" s="1" customFormat="1" x14ac:dyDescent="0.25">
      <c r="A49" s="6"/>
      <c r="B49" s="5"/>
      <c r="C49" s="11"/>
      <c r="D49" s="11"/>
      <c r="E49" s="33"/>
      <c r="F49" s="33"/>
      <c r="G49" s="70"/>
      <c r="H49" s="41"/>
      <c r="I49" s="11"/>
      <c r="J49" s="11"/>
      <c r="K49" s="70"/>
    </row>
    <row r="50" spans="1:13" s="1" customFormat="1" x14ac:dyDescent="0.25">
      <c r="A50" s="6"/>
      <c r="B50" s="5" t="s">
        <v>9</v>
      </c>
      <c r="C50" s="9">
        <v>541</v>
      </c>
      <c r="D50" s="9">
        <v>589</v>
      </c>
      <c r="E50" s="32">
        <v>593</v>
      </c>
      <c r="F50" s="32">
        <v>668</v>
      </c>
      <c r="G50" s="70"/>
      <c r="H50" s="40">
        <v>663</v>
      </c>
      <c r="I50" s="9">
        <v>698.30703550194687</v>
      </c>
      <c r="J50" s="9">
        <v>701</v>
      </c>
      <c r="K50" s="70"/>
    </row>
    <row r="51" spans="1:13" s="1" customFormat="1" x14ac:dyDescent="0.25">
      <c r="A51" s="6"/>
      <c r="B51" s="5" t="s">
        <v>33</v>
      </c>
      <c r="C51" s="15">
        <f>SUM(C37,C48,C50)</f>
        <v>26256</v>
      </c>
      <c r="D51" s="15">
        <f t="shared" ref="D51:F51" si="12">SUM(D37,D48,D50)</f>
        <v>26597</v>
      </c>
      <c r="E51" s="15">
        <f t="shared" si="12"/>
        <v>26361</v>
      </c>
      <c r="F51" s="15">
        <f t="shared" si="12"/>
        <v>26513</v>
      </c>
      <c r="G51" s="70">
        <f t="shared" ref="G51" si="13">(POWER(F51/C51,1/3))-1</f>
        <v>3.2521582938223048E-3</v>
      </c>
      <c r="H51" s="41">
        <f>SUM(H37,H48,H50)</f>
        <v>29035</v>
      </c>
      <c r="I51" s="11">
        <v>30514.631759202381</v>
      </c>
      <c r="J51" s="11">
        <f>SUM(J16,J37,J48)</f>
        <v>30649.764579779101</v>
      </c>
      <c r="K51" s="70">
        <f t="shared" ref="K51" si="14">(POWER(J51/F51,1/6))-1</f>
        <v>2.4459306047688978E-2</v>
      </c>
    </row>
    <row r="52" spans="1:13" x14ac:dyDescent="0.25">
      <c r="A52" s="7"/>
      <c r="B52" s="8"/>
      <c r="C52" s="16"/>
      <c r="D52" s="16"/>
      <c r="E52" s="32"/>
      <c r="F52" s="32"/>
      <c r="G52" s="45"/>
      <c r="H52" s="40"/>
      <c r="I52" s="9"/>
      <c r="J52" s="9"/>
      <c r="K52" s="45"/>
    </row>
    <row r="53" spans="1:13" x14ac:dyDescent="0.25">
      <c r="A53" s="7"/>
      <c r="B53" s="8"/>
      <c r="C53" s="9"/>
      <c r="D53" s="9"/>
      <c r="E53" s="32"/>
      <c r="F53" s="32"/>
      <c r="G53" s="45"/>
      <c r="H53" s="40"/>
      <c r="I53" s="9"/>
      <c r="J53" s="9"/>
      <c r="K53" s="45"/>
    </row>
    <row r="54" spans="1:13" s="1" customFormat="1" ht="60" x14ac:dyDescent="0.25">
      <c r="A54" s="2" t="s">
        <v>2</v>
      </c>
      <c r="B54" s="3" t="s">
        <v>3</v>
      </c>
      <c r="C54" s="4">
        <v>2011</v>
      </c>
      <c r="D54" s="4">
        <v>2012</v>
      </c>
      <c r="E54" s="29">
        <v>2013</v>
      </c>
      <c r="F54" s="50" t="s">
        <v>60</v>
      </c>
      <c r="G54" s="28" t="s">
        <v>110</v>
      </c>
      <c r="H54" s="37">
        <v>2017</v>
      </c>
      <c r="I54" s="49" t="s">
        <v>59</v>
      </c>
      <c r="J54" s="4">
        <v>2020</v>
      </c>
      <c r="K54" s="28" t="s">
        <v>111</v>
      </c>
    </row>
    <row r="55" spans="1:13" s="1" customFormat="1" x14ac:dyDescent="0.25">
      <c r="A55" s="6">
        <v>6</v>
      </c>
      <c r="B55" s="5" t="s">
        <v>86</v>
      </c>
      <c r="C55" s="11"/>
      <c r="D55" s="11"/>
      <c r="E55" s="33"/>
      <c r="F55" s="33"/>
      <c r="G55" s="26"/>
      <c r="H55" s="41"/>
      <c r="I55" s="11"/>
      <c r="J55" s="11"/>
      <c r="K55" s="26"/>
    </row>
    <row r="56" spans="1:13" x14ac:dyDescent="0.25">
      <c r="A56" s="7"/>
      <c r="B56" s="8" t="s">
        <v>34</v>
      </c>
      <c r="C56" s="9">
        <f>8598.667+247</f>
        <v>8845.6669999999995</v>
      </c>
      <c r="D56" s="9">
        <f>8768+402</f>
        <v>9170</v>
      </c>
      <c r="E56" s="32">
        <f>8992.667+238</f>
        <v>9230.6669999999995</v>
      </c>
      <c r="F56" s="32">
        <v>9376.4169999999995</v>
      </c>
      <c r="G56" s="46">
        <f t="shared" ref="G56:G60" si="15">(POWER(F56/C56,1/3))-1</f>
        <v>1.9613184171741294E-2</v>
      </c>
      <c r="H56" s="40">
        <v>10421</v>
      </c>
      <c r="I56" s="9">
        <v>11052.924568250211</v>
      </c>
      <c r="J56" s="9">
        <v>11246</v>
      </c>
      <c r="K56" s="46">
        <f t="shared" ref="K56:K60" si="16">(POWER(J56/F56,1/6))-1</f>
        <v>3.0766259718022715E-2</v>
      </c>
      <c r="L56" s="10"/>
      <c r="M56" s="79"/>
    </row>
    <row r="57" spans="1:13" x14ac:dyDescent="0.25">
      <c r="A57" s="7"/>
      <c r="B57" s="8" t="s">
        <v>35</v>
      </c>
      <c r="C57" s="9">
        <f>9181.583+4</f>
        <v>9185.5830000000005</v>
      </c>
      <c r="D57" s="9">
        <f>9475.5+5</f>
        <v>9480.5</v>
      </c>
      <c r="E57" s="32">
        <f>9819.25+0</f>
        <v>9819.25</v>
      </c>
      <c r="F57" s="32">
        <v>10304.416999999999</v>
      </c>
      <c r="G57" s="46">
        <f t="shared" si="15"/>
        <v>3.9055869295958612E-2</v>
      </c>
      <c r="H57" s="40">
        <v>11196</v>
      </c>
      <c r="I57" s="9">
        <v>11891.916409229745</v>
      </c>
      <c r="J57" s="9">
        <v>11900</v>
      </c>
      <c r="K57" s="46">
        <f t="shared" si="16"/>
        <v>2.4284472940367063E-2</v>
      </c>
      <c r="L57" s="19"/>
      <c r="M57" s="79"/>
    </row>
    <row r="58" spans="1:13" x14ac:dyDescent="0.25">
      <c r="A58" s="7"/>
      <c r="B58" s="8" t="s">
        <v>36</v>
      </c>
      <c r="C58" s="9">
        <f>1945.5+1647</f>
        <v>3592.5</v>
      </c>
      <c r="D58" s="9">
        <f>1929.25+1352</f>
        <v>3281.25</v>
      </c>
      <c r="E58" s="32">
        <f>1840.167+821</f>
        <v>2661.1669999999999</v>
      </c>
      <c r="F58" s="32">
        <v>2067.9169999999999</v>
      </c>
      <c r="G58" s="46">
        <f t="shared" si="15"/>
        <v>-0.16814919307673404</v>
      </c>
      <c r="H58" s="40">
        <v>2325</v>
      </c>
      <c r="I58" s="9">
        <v>2426.2353948181712</v>
      </c>
      <c r="J58" s="9">
        <v>2452</v>
      </c>
      <c r="K58" s="46">
        <f t="shared" si="16"/>
        <v>2.8800643106928758E-2</v>
      </c>
      <c r="L58" s="19"/>
      <c r="M58" s="79"/>
    </row>
    <row r="59" spans="1:13" x14ac:dyDescent="0.25">
      <c r="A59" s="7"/>
      <c r="B59" s="8" t="s">
        <v>37</v>
      </c>
      <c r="C59" s="9">
        <f>4632.25+0</f>
        <v>4632.25</v>
      </c>
      <c r="D59" s="9">
        <f>4664.25+1</f>
        <v>4665.25</v>
      </c>
      <c r="E59" s="32">
        <f>4648.917+1</f>
        <v>4649.9170000000004</v>
      </c>
      <c r="F59" s="32">
        <v>4764.25</v>
      </c>
      <c r="G59" s="46">
        <f t="shared" si="15"/>
        <v>9.4098016829158304E-3</v>
      </c>
      <c r="H59" s="40">
        <v>5093</v>
      </c>
      <c r="I59" s="9">
        <v>5143.5553869042533</v>
      </c>
      <c r="J59" s="9">
        <v>5052</v>
      </c>
      <c r="K59" s="46">
        <f t="shared" si="16"/>
        <v>9.8219345762453614E-3</v>
      </c>
      <c r="L59" s="19"/>
      <c r="M59" s="79"/>
    </row>
    <row r="60" spans="1:13" s="1" customFormat="1" x14ac:dyDescent="0.25">
      <c r="A60" s="6"/>
      <c r="B60" s="5" t="s">
        <v>12</v>
      </c>
      <c r="C60" s="11">
        <f>SUM(C56:C59)</f>
        <v>26256</v>
      </c>
      <c r="D60" s="11">
        <f>SUM(D56:D59)</f>
        <v>26597</v>
      </c>
      <c r="E60" s="33">
        <f>SUM(E56:E59)</f>
        <v>26361.001000000004</v>
      </c>
      <c r="F60" s="33">
        <f>SUM(F56:F59)</f>
        <v>26513.001</v>
      </c>
      <c r="G60" s="70">
        <f t="shared" si="15"/>
        <v>3.2521709071584581E-3</v>
      </c>
      <c r="H60" s="41">
        <f>SUM(H56:H59)</f>
        <v>29035</v>
      </c>
      <c r="I60" s="11">
        <f>SUM(I56:I59)</f>
        <v>30514.631759202381</v>
      </c>
      <c r="J60" s="11">
        <f>SUM(J56:J59)</f>
        <v>30650</v>
      </c>
      <c r="K60" s="70">
        <f t="shared" si="16"/>
        <v>2.4460611078699124E-2</v>
      </c>
      <c r="L60" s="20"/>
      <c r="M60"/>
    </row>
    <row r="61" spans="1:13" x14ac:dyDescent="0.25">
      <c r="A61" s="7"/>
      <c r="B61" s="8"/>
      <c r="C61" s="9"/>
      <c r="D61" s="9"/>
      <c r="E61" s="32"/>
      <c r="F61" s="32"/>
      <c r="G61" s="45"/>
      <c r="H61" s="40"/>
      <c r="I61" s="9"/>
      <c r="J61" s="9"/>
      <c r="K61" s="45"/>
      <c r="L61" s="19"/>
    </row>
    <row r="62" spans="1:13" s="1" customFormat="1" ht="30" x14ac:dyDescent="0.25">
      <c r="A62" s="6">
        <v>7</v>
      </c>
      <c r="B62" s="17" t="s">
        <v>91</v>
      </c>
      <c r="C62" s="14"/>
      <c r="D62" s="14"/>
      <c r="E62" s="35"/>
      <c r="F62" s="35"/>
      <c r="G62" s="26"/>
      <c r="H62" s="43"/>
      <c r="I62" s="14"/>
      <c r="J62" s="14"/>
      <c r="K62" s="26"/>
      <c r="L62" s="20"/>
    </row>
    <row r="63" spans="1:13" x14ac:dyDescent="0.25">
      <c r="A63" s="7"/>
      <c r="B63" s="8" t="s">
        <v>34</v>
      </c>
      <c r="C63" s="9">
        <v>8598.6669999999995</v>
      </c>
      <c r="D63" s="9">
        <v>8768</v>
      </c>
      <c r="E63" s="32">
        <v>8992.6669999999995</v>
      </c>
      <c r="F63" s="32">
        <v>9337.4169999999995</v>
      </c>
      <c r="G63" s="46">
        <f t="shared" ref="G63:G67" si="17">(POWER(F63/C63,1/3))-1</f>
        <v>2.7855051660877539E-2</v>
      </c>
      <c r="H63" s="40">
        <v>10227</v>
      </c>
      <c r="I63" s="9">
        <v>10877.924568250211</v>
      </c>
      <c r="J63" s="9">
        <v>11108</v>
      </c>
      <c r="K63" s="46">
        <f t="shared" ref="K63:K67" si="18">(POWER(J63/F63,1/6))-1</f>
        <v>2.9362128812426169E-2</v>
      </c>
      <c r="L63" s="19"/>
    </row>
    <row r="64" spans="1:13" x14ac:dyDescent="0.25">
      <c r="A64" s="7"/>
      <c r="B64" s="8" t="s">
        <v>35</v>
      </c>
      <c r="C64" s="9">
        <v>9181.5830000000005</v>
      </c>
      <c r="D64" s="9">
        <v>9475.5</v>
      </c>
      <c r="E64" s="32">
        <v>9819.25</v>
      </c>
      <c r="F64" s="32">
        <v>10304.416999999999</v>
      </c>
      <c r="G64" s="46">
        <f t="shared" si="17"/>
        <v>3.9206737254993573E-2</v>
      </c>
      <c r="H64" s="40">
        <v>11196</v>
      </c>
      <c r="I64" s="9">
        <v>11891.916409229745</v>
      </c>
      <c r="J64" s="9">
        <v>11900</v>
      </c>
      <c r="K64" s="46">
        <f t="shared" si="18"/>
        <v>2.4284472940367063E-2</v>
      </c>
      <c r="L64" s="19"/>
    </row>
    <row r="65" spans="1:11" x14ac:dyDescent="0.25">
      <c r="A65" s="7"/>
      <c r="B65" s="8" t="s">
        <v>36</v>
      </c>
      <c r="C65" s="9">
        <v>1945.5</v>
      </c>
      <c r="D65" s="9">
        <v>1929.25</v>
      </c>
      <c r="E65" s="32">
        <v>1840.1669999999999</v>
      </c>
      <c r="F65" s="32">
        <v>1809.9169999999999</v>
      </c>
      <c r="G65" s="46">
        <f t="shared" si="17"/>
        <v>-2.379174749002122E-2</v>
      </c>
      <c r="H65" s="40">
        <v>2215</v>
      </c>
      <c r="I65" s="9">
        <v>2316.2353948181712</v>
      </c>
      <c r="J65" s="9">
        <v>2300</v>
      </c>
      <c r="K65" s="46">
        <f t="shared" si="18"/>
        <v>4.0746269352399E-2</v>
      </c>
    </row>
    <row r="66" spans="1:11" x14ac:dyDescent="0.25">
      <c r="A66" s="7"/>
      <c r="B66" s="8" t="s">
        <v>37</v>
      </c>
      <c r="C66" s="9">
        <v>4632.25</v>
      </c>
      <c r="D66" s="9">
        <v>4664.25</v>
      </c>
      <c r="E66" s="32">
        <v>4648.9170000000004</v>
      </c>
      <c r="F66" s="32">
        <v>4764.25</v>
      </c>
      <c r="G66" s="46">
        <f t="shared" si="17"/>
        <v>9.4098016829158304E-3</v>
      </c>
      <c r="H66" s="40">
        <v>5093</v>
      </c>
      <c r="I66" s="9">
        <v>5143.5553869042533</v>
      </c>
      <c r="J66" s="9">
        <v>5052</v>
      </c>
      <c r="K66" s="46">
        <f t="shared" si="18"/>
        <v>9.8219345762453614E-3</v>
      </c>
    </row>
    <row r="67" spans="1:11" s="1" customFormat="1" x14ac:dyDescent="0.25">
      <c r="A67" s="6"/>
      <c r="B67" s="5" t="s">
        <v>12</v>
      </c>
      <c r="C67" s="11">
        <f>SUM(C63:C66)</f>
        <v>24358</v>
      </c>
      <c r="D67" s="11">
        <f>SUM(D63:D66)</f>
        <v>24837</v>
      </c>
      <c r="E67" s="33">
        <f>SUM(E63:E66)</f>
        <v>25301.001000000004</v>
      </c>
      <c r="F67" s="33">
        <f>SUM(F63:F66)</f>
        <v>26216.001</v>
      </c>
      <c r="G67" s="70">
        <f t="shared" si="17"/>
        <v>2.480587453768357E-2</v>
      </c>
      <c r="H67" s="41">
        <f>SUM(H63:H66)</f>
        <v>28731</v>
      </c>
      <c r="I67" s="11">
        <f>SUM(I63:I66)</f>
        <v>30229.631759202381</v>
      </c>
      <c r="J67" s="11">
        <f>SUM(J63:J66)</f>
        <v>30360</v>
      </c>
      <c r="K67" s="70">
        <f t="shared" si="18"/>
        <v>2.4760917159249107E-2</v>
      </c>
    </row>
    <row r="68" spans="1:11" x14ac:dyDescent="0.25">
      <c r="A68" s="7"/>
      <c r="B68" s="8"/>
      <c r="C68" s="9"/>
      <c r="D68" s="9"/>
      <c r="E68" s="32"/>
      <c r="F68" s="32"/>
      <c r="G68" s="45"/>
      <c r="H68" s="40"/>
      <c r="I68" s="9"/>
      <c r="J68" s="9"/>
      <c r="K68" s="45"/>
    </row>
    <row r="69" spans="1:11" s="1" customFormat="1" x14ac:dyDescent="0.25">
      <c r="A69" s="6">
        <v>8</v>
      </c>
      <c r="B69" s="5" t="s">
        <v>92</v>
      </c>
      <c r="C69" s="11"/>
      <c r="D69" s="11"/>
      <c r="E69" s="33"/>
      <c r="F69" s="33"/>
      <c r="G69" s="26"/>
      <c r="H69" s="41"/>
      <c r="I69" s="11"/>
      <c r="J69" s="11"/>
      <c r="K69" s="26"/>
    </row>
    <row r="70" spans="1:11" x14ac:dyDescent="0.25">
      <c r="A70" s="7"/>
      <c r="B70" s="8" t="s">
        <v>38</v>
      </c>
      <c r="C70" s="9">
        <v>12089</v>
      </c>
      <c r="D70" s="9">
        <v>12247</v>
      </c>
      <c r="E70" s="32">
        <v>12198</v>
      </c>
      <c r="F70" s="32">
        <v>12485</v>
      </c>
      <c r="G70" s="46">
        <f t="shared" ref="G70:G72" si="19">(POWER(F70/C70,1/3))-1</f>
        <v>1.0801915776505577E-2</v>
      </c>
      <c r="H70" s="40">
        <v>13309</v>
      </c>
      <c r="I70" s="9">
        <v>13859</v>
      </c>
      <c r="J70" s="9">
        <v>14573</v>
      </c>
      <c r="K70" s="46">
        <f t="shared" ref="K70:K72" si="20">(POWER(J70/F70,1/6))-1</f>
        <v>2.6108778409184907E-2</v>
      </c>
    </row>
    <row r="71" spans="1:11" x14ac:dyDescent="0.25">
      <c r="A71" s="7"/>
      <c r="B71" s="8" t="s">
        <v>39</v>
      </c>
      <c r="C71" s="9">
        <v>14167</v>
      </c>
      <c r="D71" s="9">
        <v>14350</v>
      </c>
      <c r="E71" s="32">
        <v>14163</v>
      </c>
      <c r="F71" s="32">
        <v>14028</v>
      </c>
      <c r="G71" s="46">
        <f t="shared" si="19"/>
        <v>-3.2812662139090065E-3</v>
      </c>
      <c r="H71" s="40">
        <v>15726</v>
      </c>
      <c r="I71" s="9">
        <v>16371</v>
      </c>
      <c r="J71" s="9">
        <v>15787</v>
      </c>
      <c r="K71" s="46">
        <f t="shared" si="20"/>
        <v>1.9883679117204345E-2</v>
      </c>
    </row>
    <row r="72" spans="1:11" s="1" customFormat="1" x14ac:dyDescent="0.25">
      <c r="A72" s="6"/>
      <c r="B72" s="5" t="s">
        <v>12</v>
      </c>
      <c r="C72" s="11">
        <f>SUM(C70:C71)</f>
        <v>26256</v>
      </c>
      <c r="D72" s="11">
        <f>SUM(D70:D71)</f>
        <v>26597</v>
      </c>
      <c r="E72" s="33">
        <f>SUM(E70:E71)</f>
        <v>26361</v>
      </c>
      <c r="F72" s="33">
        <f>SUM(F70:F71)</f>
        <v>26513</v>
      </c>
      <c r="G72" s="70">
        <f t="shared" si="19"/>
        <v>3.2521582938223048E-3</v>
      </c>
      <c r="H72" s="41">
        <f>SUM(H70:H71)</f>
        <v>29035</v>
      </c>
      <c r="I72" s="11">
        <f>SUM(I70:I71)</f>
        <v>30230</v>
      </c>
      <c r="J72" s="11">
        <f>SUM(J70:J71)</f>
        <v>30360</v>
      </c>
      <c r="K72" s="70">
        <f t="shared" si="20"/>
        <v>2.2838694479249799E-2</v>
      </c>
    </row>
    <row r="73" spans="1:11" x14ac:dyDescent="0.25">
      <c r="A73" s="7"/>
      <c r="B73" s="8"/>
      <c r="C73" s="9"/>
      <c r="D73" s="9"/>
      <c r="E73" s="32"/>
      <c r="F73" s="32"/>
      <c r="G73" s="45"/>
      <c r="H73" s="40"/>
      <c r="I73" s="9"/>
      <c r="J73" s="9"/>
      <c r="K73" s="45"/>
    </row>
    <row r="74" spans="1:11" s="1" customFormat="1" x14ac:dyDescent="0.25">
      <c r="A74" s="6">
        <v>9</v>
      </c>
      <c r="B74" s="5" t="s">
        <v>93</v>
      </c>
      <c r="C74" s="11"/>
      <c r="D74" s="11"/>
      <c r="E74" s="33"/>
      <c r="F74" s="33"/>
      <c r="G74" s="26"/>
      <c r="H74" s="41"/>
      <c r="I74" s="11"/>
      <c r="J74" s="11"/>
      <c r="K74" s="26"/>
    </row>
    <row r="75" spans="1:11" x14ac:dyDescent="0.25">
      <c r="A75" s="7"/>
      <c r="B75" s="8" t="s">
        <v>40</v>
      </c>
      <c r="C75" s="9">
        <f>15627+18</f>
        <v>15645</v>
      </c>
      <c r="D75" s="9">
        <f>16096+2</f>
        <v>16098</v>
      </c>
      <c r="E75" s="32">
        <v>15933</v>
      </c>
      <c r="F75" s="32">
        <v>15970</v>
      </c>
      <c r="G75" s="46">
        <f t="shared" ref="G75:G79" si="21">(POWER(F75/C75,1/3))-1</f>
        <v>6.8770675389726588E-3</v>
      </c>
      <c r="H75" s="40">
        <v>17465</v>
      </c>
      <c r="I75" s="9">
        <v>18495.221076962767</v>
      </c>
      <c r="J75" s="9">
        <v>17894.696</v>
      </c>
      <c r="K75" s="46">
        <f t="shared" ref="K75:K79" si="22">(POWER(J75/F75,1/6))-1</f>
        <v>1.9146384499714841E-2</v>
      </c>
    </row>
    <row r="76" spans="1:11" x14ac:dyDescent="0.25">
      <c r="A76" s="7"/>
      <c r="B76" s="8" t="s">
        <v>41</v>
      </c>
      <c r="C76" s="9">
        <v>3672</v>
      </c>
      <c r="D76" s="9">
        <v>3675</v>
      </c>
      <c r="E76" s="32">
        <v>3690</v>
      </c>
      <c r="F76" s="32">
        <v>3726</v>
      </c>
      <c r="G76" s="46">
        <f t="shared" si="21"/>
        <v>4.8781259777794794E-3</v>
      </c>
      <c r="H76" s="40">
        <v>4204</v>
      </c>
      <c r="I76" s="9">
        <v>4492.3732412614336</v>
      </c>
      <c r="J76" s="9">
        <v>4145.2639999999992</v>
      </c>
      <c r="K76" s="46">
        <f t="shared" si="22"/>
        <v>1.7930726914788142E-2</v>
      </c>
    </row>
    <row r="77" spans="1:11" x14ac:dyDescent="0.25">
      <c r="A77" s="7"/>
      <c r="B77" s="8" t="s">
        <v>42</v>
      </c>
      <c r="C77" s="9">
        <v>377</v>
      </c>
      <c r="D77" s="9">
        <v>361</v>
      </c>
      <c r="E77" s="32">
        <v>319</v>
      </c>
      <c r="F77" s="32">
        <v>460</v>
      </c>
      <c r="G77" s="46">
        <f t="shared" si="21"/>
        <v>6.8576192003450664E-2</v>
      </c>
      <c r="H77" s="40">
        <v>402</v>
      </c>
      <c r="I77" s="9">
        <v>420.11153895422257</v>
      </c>
      <c r="J77" s="9">
        <v>525.4559999999999</v>
      </c>
      <c r="K77" s="46">
        <f t="shared" si="22"/>
        <v>2.2420983220264645E-2</v>
      </c>
    </row>
    <row r="78" spans="1:11" x14ac:dyDescent="0.25">
      <c r="A78" s="7"/>
      <c r="B78" s="8" t="s">
        <v>43</v>
      </c>
      <c r="C78" s="9">
        <v>6562</v>
      </c>
      <c r="D78" s="9">
        <v>6463</v>
      </c>
      <c r="E78" s="32">
        <v>6419</v>
      </c>
      <c r="F78" s="32">
        <v>6357</v>
      </c>
      <c r="G78" s="46">
        <f t="shared" si="21"/>
        <v>-1.0523854831131163E-2</v>
      </c>
      <c r="H78" s="40">
        <v>6964</v>
      </c>
      <c r="I78" s="9">
        <v>7106.9259020239588</v>
      </c>
      <c r="J78" s="9">
        <v>6626.5840000000007</v>
      </c>
      <c r="K78" s="46">
        <f t="shared" si="22"/>
        <v>6.9461583680050509E-3</v>
      </c>
    </row>
    <row r="79" spans="1:11" s="1" customFormat="1" x14ac:dyDescent="0.25">
      <c r="A79" s="6"/>
      <c r="B79" s="5" t="s">
        <v>12</v>
      </c>
      <c r="C79" s="11">
        <f>SUM(C75:C78)</f>
        <v>26256</v>
      </c>
      <c r="D79" s="11">
        <f>SUM(D75:D78)</f>
        <v>26597</v>
      </c>
      <c r="E79" s="33">
        <f>SUM(E75:E78)</f>
        <v>26361</v>
      </c>
      <c r="F79" s="33">
        <f>SUM(F75:F78)</f>
        <v>26513</v>
      </c>
      <c r="G79" s="70">
        <f t="shared" si="21"/>
        <v>3.2521582938223048E-3</v>
      </c>
      <c r="H79" s="41">
        <f>SUM(H75:H78)</f>
        <v>29035</v>
      </c>
      <c r="I79" s="11">
        <f>SUM(I75:I78)</f>
        <v>30514.631759202381</v>
      </c>
      <c r="J79" s="11">
        <v>29192</v>
      </c>
      <c r="K79" s="70">
        <f t="shared" si="22"/>
        <v>1.6172637375820864E-2</v>
      </c>
    </row>
    <row r="80" spans="1:11" x14ac:dyDescent="0.25">
      <c r="A80" s="7"/>
      <c r="B80" s="8"/>
      <c r="C80" s="9"/>
      <c r="D80" s="9"/>
      <c r="E80" s="32"/>
      <c r="F80" s="32"/>
      <c r="G80" s="45"/>
      <c r="H80" s="40"/>
      <c r="I80" s="9"/>
      <c r="J80" s="9"/>
      <c r="K80" s="45"/>
    </row>
    <row r="81" spans="1:12" s="1" customFormat="1" x14ac:dyDescent="0.25">
      <c r="A81" s="6">
        <v>10</v>
      </c>
      <c r="B81" s="5" t="s">
        <v>94</v>
      </c>
      <c r="C81" s="11"/>
      <c r="D81" s="11"/>
      <c r="E81" s="33"/>
      <c r="F81" s="33"/>
      <c r="G81" s="26"/>
      <c r="H81" s="41"/>
      <c r="I81" s="11"/>
      <c r="J81" s="11"/>
      <c r="K81" s="26"/>
    </row>
    <row r="82" spans="1:12" x14ac:dyDescent="0.25">
      <c r="A82" s="7"/>
      <c r="B82" s="8" t="s">
        <v>40</v>
      </c>
      <c r="C82" s="9">
        <f>13818+18</f>
        <v>13836</v>
      </c>
      <c r="D82" s="9">
        <f>14443+2</f>
        <v>14445</v>
      </c>
      <c r="E82" s="32">
        <v>14941</v>
      </c>
      <c r="F82" s="32">
        <v>15686</v>
      </c>
      <c r="G82" s="46">
        <f t="shared" ref="G82:G86" si="23">(POWER(F82/C82,1/3))-1</f>
        <v>4.271883664133469E-2</v>
      </c>
      <c r="H82" s="40">
        <v>17178</v>
      </c>
      <c r="I82" s="9">
        <v>18227.321076962766</v>
      </c>
      <c r="J82" s="9">
        <v>18407</v>
      </c>
      <c r="K82" s="46">
        <f t="shared" ref="K82:K86" si="24">(POWER(J82/F82,1/6))-1</f>
        <v>2.7018973415142034E-2</v>
      </c>
      <c r="L82" s="21"/>
    </row>
    <row r="83" spans="1:12" x14ac:dyDescent="0.25">
      <c r="A83" s="7"/>
      <c r="B83" s="8" t="s">
        <v>41</v>
      </c>
      <c r="C83" s="9">
        <v>3624</v>
      </c>
      <c r="D83" s="9">
        <v>3606</v>
      </c>
      <c r="E83" s="32">
        <v>3634</v>
      </c>
      <c r="F83" s="32">
        <v>3716</v>
      </c>
      <c r="G83" s="46">
        <f t="shared" si="23"/>
        <v>8.3914904091366704E-3</v>
      </c>
      <c r="H83" s="40">
        <v>4189</v>
      </c>
      <c r="I83" s="9">
        <v>4478.1232412614336</v>
      </c>
      <c r="J83" s="9">
        <v>4382</v>
      </c>
      <c r="K83" s="46">
        <f t="shared" si="24"/>
        <v>2.7857189542000116E-2</v>
      </c>
      <c r="L83" s="21"/>
    </row>
    <row r="84" spans="1:12" x14ac:dyDescent="0.25">
      <c r="A84" s="7"/>
      <c r="B84" s="8" t="s">
        <v>42</v>
      </c>
      <c r="C84" s="9">
        <v>368</v>
      </c>
      <c r="D84" s="9">
        <v>357</v>
      </c>
      <c r="E84" s="32">
        <v>319</v>
      </c>
      <c r="F84" s="32">
        <v>458</v>
      </c>
      <c r="G84" s="46">
        <f t="shared" si="23"/>
        <v>7.5653892390555644E-2</v>
      </c>
      <c r="H84" s="40">
        <v>402</v>
      </c>
      <c r="I84" s="9">
        <v>420.11153895422257</v>
      </c>
      <c r="J84" s="9">
        <v>552</v>
      </c>
      <c r="K84" s="46">
        <f t="shared" si="24"/>
        <v>3.1602216569080133E-2</v>
      </c>
      <c r="L84" s="21"/>
    </row>
    <row r="85" spans="1:12" x14ac:dyDescent="0.25">
      <c r="A85" s="7"/>
      <c r="B85" s="8" t="s">
        <v>43</v>
      </c>
      <c r="C85" s="9">
        <v>6530</v>
      </c>
      <c r="D85" s="9">
        <v>6429</v>
      </c>
      <c r="E85" s="32">
        <v>6407</v>
      </c>
      <c r="F85" s="32">
        <v>6356</v>
      </c>
      <c r="G85" s="46">
        <f t="shared" si="23"/>
        <v>-8.9621631148713021E-3</v>
      </c>
      <c r="H85" s="40">
        <v>6962</v>
      </c>
      <c r="I85" s="9">
        <v>7104.0759020239584</v>
      </c>
      <c r="J85" s="9">
        <v>7019</v>
      </c>
      <c r="K85" s="46">
        <f t="shared" si="24"/>
        <v>1.6674409861041406E-2</v>
      </c>
      <c r="L85" s="21"/>
    </row>
    <row r="86" spans="1:12" s="1" customFormat="1" x14ac:dyDescent="0.25">
      <c r="A86" s="6"/>
      <c r="B86" s="5" t="s">
        <v>12</v>
      </c>
      <c r="C86" s="11">
        <f>SUM(C82:C85)</f>
        <v>24358</v>
      </c>
      <c r="D86" s="11">
        <f>SUM(D82:D85)</f>
        <v>24837</v>
      </c>
      <c r="E86" s="33">
        <f>SUM(E82:E85)</f>
        <v>25301</v>
      </c>
      <c r="F86" s="33">
        <f>SUM(F82:F85)</f>
        <v>26216</v>
      </c>
      <c r="G86" s="70">
        <f t="shared" si="23"/>
        <v>2.4805861507398497E-2</v>
      </c>
      <c r="H86" s="41">
        <f>SUM(H82:H85)</f>
        <v>28731</v>
      </c>
      <c r="I86" s="11">
        <f>SUM(I82:I85)</f>
        <v>30229.631759202377</v>
      </c>
      <c r="J86" s="11">
        <f>SUM(J82:J85)</f>
        <v>30360</v>
      </c>
      <c r="K86" s="70">
        <f t="shared" si="24"/>
        <v>2.4760923674105761E-2</v>
      </c>
      <c r="L86" s="22"/>
    </row>
    <row r="87" spans="1:12" x14ac:dyDescent="0.25">
      <c r="A87" s="7"/>
      <c r="B87" s="8"/>
      <c r="C87" s="9"/>
      <c r="D87" s="9"/>
      <c r="E87" s="32"/>
      <c r="F87" s="32"/>
      <c r="G87" s="45"/>
      <c r="H87" s="40"/>
      <c r="I87" s="9"/>
      <c r="J87" s="9"/>
      <c r="K87" s="45"/>
    </row>
    <row r="88" spans="1:12" s="1" customFormat="1" ht="60" x14ac:dyDescent="0.25">
      <c r="A88" s="2" t="s">
        <v>2</v>
      </c>
      <c r="B88" s="3" t="s">
        <v>3</v>
      </c>
      <c r="C88" s="4">
        <v>2011</v>
      </c>
      <c r="D88" s="4">
        <v>2012</v>
      </c>
      <c r="E88" s="29">
        <v>2013</v>
      </c>
      <c r="F88" s="50" t="s">
        <v>60</v>
      </c>
      <c r="G88" s="28" t="s">
        <v>110</v>
      </c>
      <c r="H88" s="37">
        <v>2017</v>
      </c>
      <c r="I88" s="49" t="s">
        <v>59</v>
      </c>
      <c r="J88" s="4">
        <v>2020</v>
      </c>
      <c r="K88" s="28" t="s">
        <v>111</v>
      </c>
    </row>
    <row r="89" spans="1:12" s="1" customFormat="1" x14ac:dyDescent="0.25">
      <c r="A89" s="6">
        <v>11</v>
      </c>
      <c r="B89" s="5" t="s">
        <v>95</v>
      </c>
      <c r="C89" s="11"/>
      <c r="D89" s="11"/>
      <c r="E89" s="33"/>
      <c r="F89" s="33"/>
      <c r="G89" s="26"/>
      <c r="H89" s="41"/>
      <c r="I89" s="11"/>
      <c r="J89" s="11"/>
      <c r="K89" s="26"/>
    </row>
    <row r="90" spans="1:12" x14ac:dyDescent="0.25">
      <c r="A90" s="7"/>
      <c r="B90" s="8" t="s">
        <v>44</v>
      </c>
      <c r="C90" s="27">
        <v>12264</v>
      </c>
      <c r="D90" s="27">
        <v>11940</v>
      </c>
      <c r="E90" s="36">
        <v>11836</v>
      </c>
      <c r="F90" s="36">
        <v>11627</v>
      </c>
      <c r="G90" s="46">
        <f t="shared" ref="G90:G94" si="25">(POWER(F90/C90,1/3))-1</f>
        <v>-1.7622266536334363E-2</v>
      </c>
      <c r="H90" s="40">
        <v>12596</v>
      </c>
      <c r="I90" s="9">
        <v>13174</v>
      </c>
      <c r="J90" s="9">
        <v>13151</v>
      </c>
      <c r="K90" s="46">
        <f t="shared" ref="K90:K94" si="26">(POWER(J90/F90,1/6))-1</f>
        <v>2.0740118229700011E-2</v>
      </c>
      <c r="L90" s="1"/>
    </row>
    <row r="91" spans="1:12" x14ac:dyDescent="0.25">
      <c r="A91" s="7"/>
      <c r="B91" s="8" t="s">
        <v>45</v>
      </c>
      <c r="C91" s="27">
        <v>7219</v>
      </c>
      <c r="D91" s="27">
        <v>7743</v>
      </c>
      <c r="E91" s="36">
        <v>7697</v>
      </c>
      <c r="F91" s="36">
        <v>8092</v>
      </c>
      <c r="G91" s="46">
        <f t="shared" si="25"/>
        <v>3.8786453349994643E-2</v>
      </c>
      <c r="H91" s="40">
        <v>7683</v>
      </c>
      <c r="I91" s="9">
        <v>7925</v>
      </c>
      <c r="J91" s="9">
        <v>7799</v>
      </c>
      <c r="K91" s="46">
        <f t="shared" si="26"/>
        <v>-6.1278806421647403E-3</v>
      </c>
      <c r="L91" s="1"/>
    </row>
    <row r="92" spans="1:12" x14ac:dyDescent="0.25">
      <c r="A92" s="7"/>
      <c r="B92" s="8" t="s">
        <v>46</v>
      </c>
      <c r="C92" s="27">
        <v>4952</v>
      </c>
      <c r="D92" s="27">
        <v>5097</v>
      </c>
      <c r="E92" s="36">
        <v>5075</v>
      </c>
      <c r="F92" s="36">
        <v>5136</v>
      </c>
      <c r="G92" s="46">
        <f t="shared" si="25"/>
        <v>1.2235256083826584E-2</v>
      </c>
      <c r="H92" s="40">
        <v>6133</v>
      </c>
      <c r="I92" s="9">
        <v>6551</v>
      </c>
      <c r="J92" s="9">
        <v>6678</v>
      </c>
      <c r="K92" s="46">
        <f t="shared" si="26"/>
        <v>4.4728798939426051E-2</v>
      </c>
      <c r="L92" s="1"/>
    </row>
    <row r="93" spans="1:12" x14ac:dyDescent="0.25">
      <c r="A93" s="7"/>
      <c r="B93" s="8" t="s">
        <v>47</v>
      </c>
      <c r="C93" s="27">
        <v>1821</v>
      </c>
      <c r="D93" s="27">
        <v>1787</v>
      </c>
      <c r="E93" s="36">
        <v>1753</v>
      </c>
      <c r="F93" s="36">
        <v>1658</v>
      </c>
      <c r="G93" s="46">
        <f t="shared" si="25"/>
        <v>-3.0774436661728966E-2</v>
      </c>
      <c r="H93" s="40">
        <v>2319</v>
      </c>
      <c r="I93" s="9">
        <v>2580</v>
      </c>
      <c r="J93" s="9">
        <v>2732</v>
      </c>
      <c r="K93" s="46">
        <f t="shared" si="26"/>
        <v>8.6799328643111684E-2</v>
      </c>
      <c r="L93" s="1"/>
    </row>
    <row r="94" spans="1:12" s="1" customFormat="1" x14ac:dyDescent="0.25">
      <c r="A94" s="6"/>
      <c r="B94" s="5" t="s">
        <v>12</v>
      </c>
      <c r="C94" s="11">
        <v>26256</v>
      </c>
      <c r="D94" s="11">
        <v>26567</v>
      </c>
      <c r="E94" s="33">
        <f>SUM(E90:E93)</f>
        <v>26361</v>
      </c>
      <c r="F94" s="33">
        <f>SUM(F90:F93)</f>
        <v>26513</v>
      </c>
      <c r="G94" s="70">
        <f t="shared" si="25"/>
        <v>3.2521582938223048E-3</v>
      </c>
      <c r="H94" s="41">
        <f>SUM(H90:H93)</f>
        <v>28731</v>
      </c>
      <c r="I94" s="41">
        <f t="shared" ref="I94:J94" si="27">SUM(I90:I93)</f>
        <v>30230</v>
      </c>
      <c r="J94" s="41">
        <f t="shared" si="27"/>
        <v>30360</v>
      </c>
      <c r="K94" s="70">
        <f t="shared" si="26"/>
        <v>2.2838694479249799E-2</v>
      </c>
    </row>
    <row r="95" spans="1:12" x14ac:dyDescent="0.25">
      <c r="A95" s="7"/>
      <c r="B95" s="8"/>
      <c r="C95" s="9"/>
      <c r="D95" s="9"/>
      <c r="E95" s="32"/>
      <c r="F95" s="32"/>
      <c r="G95" s="45"/>
      <c r="H95" s="40"/>
      <c r="I95" s="9"/>
      <c r="J95" s="9"/>
      <c r="K95" s="45"/>
    </row>
    <row r="96" spans="1:12" s="1" customFormat="1" x14ac:dyDescent="0.25">
      <c r="A96" s="6">
        <v>12</v>
      </c>
      <c r="B96" s="5" t="s">
        <v>96</v>
      </c>
      <c r="C96" s="11"/>
      <c r="D96" s="11"/>
      <c r="E96" s="33"/>
      <c r="F96" s="33"/>
      <c r="G96" s="26"/>
      <c r="H96" s="41"/>
      <c r="I96" s="11"/>
      <c r="J96" s="11"/>
      <c r="K96" s="26"/>
    </row>
    <row r="97" spans="1:11" ht="30" x14ac:dyDescent="0.25">
      <c r="A97" s="7"/>
      <c r="B97" s="23" t="s">
        <v>97</v>
      </c>
      <c r="C97" s="27">
        <v>2912</v>
      </c>
      <c r="D97" s="27">
        <v>2903</v>
      </c>
      <c r="E97" s="36">
        <v>2891</v>
      </c>
      <c r="F97" s="36">
        <v>3184</v>
      </c>
      <c r="G97" s="46">
        <f t="shared" ref="G97:G99" si="28">(POWER(F97/C97,1/3))-1</f>
        <v>3.0213483070992364E-2</v>
      </c>
      <c r="H97" s="40">
        <v>4190</v>
      </c>
      <c r="I97" s="9">
        <v>3800</v>
      </c>
      <c r="J97" s="9">
        <v>4190</v>
      </c>
      <c r="K97" s="46">
        <f t="shared" ref="K97:K99" si="29">(POWER(J97/F97,1/6))-1</f>
        <v>4.6823573487648096E-2</v>
      </c>
    </row>
    <row r="98" spans="1:11" ht="30" x14ac:dyDescent="0.25">
      <c r="A98" s="7"/>
      <c r="B98" s="23" t="s">
        <v>98</v>
      </c>
      <c r="C98" s="27">
        <v>620</v>
      </c>
      <c r="D98" s="27">
        <v>746</v>
      </c>
      <c r="E98" s="36">
        <v>1238</v>
      </c>
      <c r="F98" s="36">
        <v>1276</v>
      </c>
      <c r="G98" s="46">
        <f t="shared" si="28"/>
        <v>0.27199770663347356</v>
      </c>
      <c r="H98" s="40">
        <v>1315</v>
      </c>
      <c r="I98" s="9">
        <v>1445</v>
      </c>
      <c r="J98" s="9">
        <v>1575</v>
      </c>
      <c r="K98" s="46">
        <f t="shared" si="29"/>
        <v>3.5710344567819741E-2</v>
      </c>
    </row>
    <row r="99" spans="1:11" s="1" customFormat="1" x14ac:dyDescent="0.25">
      <c r="A99" s="6"/>
      <c r="B99" s="5" t="s">
        <v>48</v>
      </c>
      <c r="C99" s="11">
        <f>SUM(C97:C98)</f>
        <v>3532</v>
      </c>
      <c r="D99" s="11">
        <f>SUM(D97:D98)</f>
        <v>3649</v>
      </c>
      <c r="E99" s="33">
        <f>SUM(E97:E98)</f>
        <v>4129</v>
      </c>
      <c r="F99" s="33">
        <f>SUM(F97:F98)</f>
        <v>4460</v>
      </c>
      <c r="G99" s="70">
        <f t="shared" si="28"/>
        <v>8.0864835641566879E-2</v>
      </c>
      <c r="H99" s="11">
        <f>SUM(H97:H98)</f>
        <v>5505</v>
      </c>
      <c r="I99" s="11">
        <f>SUM(I97:I98)</f>
        <v>5245</v>
      </c>
      <c r="J99" s="11">
        <f>SUM(J97:J98)</f>
        <v>5765</v>
      </c>
      <c r="K99" s="46">
        <f t="shared" si="29"/>
        <v>4.3704146389300425E-2</v>
      </c>
    </row>
    <row r="100" spans="1:11" x14ac:dyDescent="0.25">
      <c r="A100" s="7"/>
      <c r="B100" s="8"/>
      <c r="C100" s="9"/>
      <c r="D100" s="9"/>
      <c r="E100" s="32"/>
      <c r="F100" s="32"/>
      <c r="G100" s="45"/>
      <c r="H100" s="40"/>
      <c r="I100" s="9"/>
      <c r="J100" s="9"/>
      <c r="K100" s="45"/>
    </row>
    <row r="101" spans="1:11" s="1" customFormat="1" x14ac:dyDescent="0.25">
      <c r="A101" s="6">
        <v>13</v>
      </c>
      <c r="B101" s="5" t="s">
        <v>49</v>
      </c>
      <c r="C101" s="11"/>
      <c r="D101" s="11"/>
      <c r="E101" s="33"/>
      <c r="F101" s="33"/>
      <c r="G101" s="26"/>
      <c r="H101" s="41"/>
      <c r="I101" s="11"/>
      <c r="J101" s="11"/>
      <c r="K101" s="26"/>
    </row>
    <row r="102" spans="1:11" x14ac:dyDescent="0.25">
      <c r="A102" s="7"/>
      <c r="B102" s="8" t="s">
        <v>50</v>
      </c>
      <c r="C102" s="27">
        <v>10809</v>
      </c>
      <c r="D102" s="9">
        <v>11098</v>
      </c>
      <c r="E102" s="32">
        <v>11341</v>
      </c>
      <c r="F102" s="32">
        <v>11842</v>
      </c>
      <c r="G102" s="46">
        <f t="shared" ref="G102:G109" si="30">(POWER(F102/C102,1/3))-1</f>
        <v>3.0892025096660891E-2</v>
      </c>
      <c r="H102" s="40">
        <v>13009</v>
      </c>
      <c r="I102" s="9">
        <v>13676</v>
      </c>
      <c r="J102" s="9">
        <v>13735</v>
      </c>
      <c r="K102" s="46">
        <f t="shared" ref="K102:K109" si="31">(POWER(J102/F102,1/6))-1</f>
        <v>2.5023764882628141E-2</v>
      </c>
    </row>
    <row r="103" spans="1:11" x14ac:dyDescent="0.25">
      <c r="A103" s="7"/>
      <c r="B103" s="8" t="s">
        <v>51</v>
      </c>
      <c r="C103" s="27">
        <v>6091</v>
      </c>
      <c r="D103" s="9">
        <v>5861</v>
      </c>
      <c r="E103" s="32">
        <v>6021</v>
      </c>
      <c r="F103" s="32">
        <v>6097</v>
      </c>
      <c r="G103" s="46">
        <f t="shared" si="30"/>
        <v>3.2824555122878962E-4</v>
      </c>
      <c r="H103" s="40">
        <v>6847</v>
      </c>
      <c r="I103" s="9">
        <v>7196</v>
      </c>
      <c r="J103" s="9">
        <v>7227</v>
      </c>
      <c r="K103" s="46">
        <f t="shared" si="31"/>
        <v>2.8743197810950027E-2</v>
      </c>
    </row>
    <row r="104" spans="1:11" x14ac:dyDescent="0.25">
      <c r="A104" s="7"/>
      <c r="B104" s="8" t="s">
        <v>52</v>
      </c>
      <c r="C104" s="27">
        <v>1246</v>
      </c>
      <c r="D104" s="9">
        <v>1275</v>
      </c>
      <c r="E104" s="32">
        <v>1340</v>
      </c>
      <c r="F104" s="32">
        <v>1342</v>
      </c>
      <c r="G104" s="46">
        <f t="shared" si="30"/>
        <v>2.504946783480011E-2</v>
      </c>
      <c r="H104" s="40">
        <v>1488</v>
      </c>
      <c r="I104" s="9">
        <v>1559</v>
      </c>
      <c r="J104" s="9">
        <v>1566</v>
      </c>
      <c r="K104" s="46">
        <f t="shared" si="31"/>
        <v>2.6061062245212208E-2</v>
      </c>
    </row>
    <row r="105" spans="1:11" x14ac:dyDescent="0.25">
      <c r="A105" s="7"/>
      <c r="B105" s="8" t="s">
        <v>53</v>
      </c>
      <c r="C105" s="27">
        <v>4624</v>
      </c>
      <c r="D105" s="9">
        <v>4890</v>
      </c>
      <c r="E105" s="32">
        <v>4924</v>
      </c>
      <c r="F105" s="32">
        <v>5351</v>
      </c>
      <c r="G105" s="46">
        <f t="shared" si="30"/>
        <v>4.9878499438028578E-2</v>
      </c>
      <c r="H105" s="40">
        <v>5731</v>
      </c>
      <c r="I105" s="9">
        <v>6041</v>
      </c>
      <c r="J105" s="9">
        <v>6063</v>
      </c>
      <c r="K105" s="46">
        <f t="shared" si="31"/>
        <v>2.1038463949708763E-2</v>
      </c>
    </row>
    <row r="106" spans="1:11" x14ac:dyDescent="0.25">
      <c r="A106" s="7"/>
      <c r="B106" s="8" t="s">
        <v>54</v>
      </c>
      <c r="C106" s="27">
        <v>1389</v>
      </c>
      <c r="D106" s="9">
        <v>1275</v>
      </c>
      <c r="E106" s="32">
        <v>1248</v>
      </c>
      <c r="F106" s="32">
        <v>1513</v>
      </c>
      <c r="G106" s="46">
        <f t="shared" si="30"/>
        <v>2.8913567794244699E-2</v>
      </c>
      <c r="H106" s="81">
        <v>1631</v>
      </c>
      <c r="I106" s="9">
        <v>1727</v>
      </c>
      <c r="J106" s="9">
        <v>1734</v>
      </c>
      <c r="K106" s="46">
        <f t="shared" si="31"/>
        <v>2.2982868599295436E-2</v>
      </c>
    </row>
    <row r="107" spans="1:11" x14ac:dyDescent="0.25">
      <c r="A107" s="7"/>
      <c r="B107" s="8" t="s">
        <v>55</v>
      </c>
      <c r="C107" s="27">
        <v>313</v>
      </c>
      <c r="D107" s="9">
        <v>360</v>
      </c>
      <c r="E107" s="32">
        <v>358</v>
      </c>
      <c r="F107" s="32">
        <v>0</v>
      </c>
      <c r="G107" s="46">
        <f t="shared" si="30"/>
        <v>-1</v>
      </c>
      <c r="H107" s="81">
        <v>25</v>
      </c>
      <c r="I107" s="9">
        <v>31</v>
      </c>
      <c r="J107" s="82">
        <v>35</v>
      </c>
      <c r="K107" s="46"/>
    </row>
    <row r="108" spans="1:11" x14ac:dyDescent="0.25">
      <c r="A108" s="7"/>
      <c r="B108" s="8" t="s">
        <v>56</v>
      </c>
      <c r="C108" s="27">
        <v>74</v>
      </c>
      <c r="D108" s="9">
        <v>78</v>
      </c>
      <c r="E108" s="32">
        <v>69</v>
      </c>
      <c r="F108" s="32">
        <v>71</v>
      </c>
      <c r="G108" s="46">
        <f t="shared" si="30"/>
        <v>-1.3700356085891596E-2</v>
      </c>
      <c r="H108" s="40"/>
      <c r="I108" s="9"/>
      <c r="J108" s="9"/>
      <c r="K108" s="46">
        <f t="shared" si="31"/>
        <v>-1</v>
      </c>
    </row>
    <row r="109" spans="1:11" s="1" customFormat="1" x14ac:dyDescent="0.25">
      <c r="A109" s="6"/>
      <c r="B109" s="5" t="s">
        <v>12</v>
      </c>
      <c r="C109" s="11">
        <f>SUM(C102:C108)</f>
        <v>24546</v>
      </c>
      <c r="D109" s="11">
        <f>SUM(D102:D108)</f>
        <v>24837</v>
      </c>
      <c r="E109" s="33">
        <f>SUM(E102:E108)</f>
        <v>25301</v>
      </c>
      <c r="F109" s="33">
        <f>SUM(F102:F108)</f>
        <v>26216</v>
      </c>
      <c r="G109" s="70">
        <f t="shared" si="30"/>
        <v>2.2182793508463305E-2</v>
      </c>
      <c r="H109" s="41">
        <f>SUM(H102:H108)</f>
        <v>28731</v>
      </c>
      <c r="I109" s="11">
        <f>SUM(I102:I108)</f>
        <v>30230</v>
      </c>
      <c r="J109" s="11">
        <f>SUM(J102:J107)</f>
        <v>30360</v>
      </c>
      <c r="K109" s="70">
        <f t="shared" si="31"/>
        <v>2.4760923674105761E-2</v>
      </c>
    </row>
    <row r="110" spans="1:11" x14ac:dyDescent="0.25">
      <c r="A110" s="24"/>
      <c r="C110" s="10"/>
      <c r="D110" s="10"/>
      <c r="E110" s="10"/>
      <c r="F110" s="10"/>
      <c r="H110" s="10"/>
      <c r="I110" s="10"/>
      <c r="J110" s="10"/>
      <c r="K110" s="10"/>
    </row>
    <row r="111" spans="1:11" ht="60" x14ac:dyDescent="0.25">
      <c r="A111" s="2" t="s">
        <v>2</v>
      </c>
      <c r="B111" s="3" t="s">
        <v>3</v>
      </c>
      <c r="C111" s="4">
        <v>2011</v>
      </c>
      <c r="D111" s="4">
        <v>2012</v>
      </c>
      <c r="E111" s="29">
        <v>2013</v>
      </c>
      <c r="F111" s="50" t="s">
        <v>60</v>
      </c>
      <c r="G111" s="28" t="s">
        <v>57</v>
      </c>
      <c r="H111" s="37">
        <v>2017</v>
      </c>
      <c r="I111" s="49" t="s">
        <v>59</v>
      </c>
      <c r="J111" s="4">
        <v>2020</v>
      </c>
      <c r="K111" s="28" t="s">
        <v>58</v>
      </c>
    </row>
    <row r="112" spans="1:11" x14ac:dyDescent="0.25">
      <c r="A112" s="5"/>
      <c r="B112" s="5"/>
      <c r="C112" s="6"/>
      <c r="D112" s="6"/>
      <c r="E112" s="30"/>
      <c r="F112" s="140"/>
      <c r="G112" s="84"/>
      <c r="H112" s="38"/>
      <c r="I112" s="6"/>
      <c r="J112" s="6"/>
      <c r="K112" s="25"/>
    </row>
    <row r="113" spans="1:11" x14ac:dyDescent="0.25">
      <c r="A113" s="6">
        <v>14</v>
      </c>
      <c r="B113" s="5" t="s">
        <v>61</v>
      </c>
      <c r="C113" s="73">
        <v>0.76</v>
      </c>
      <c r="D113" s="73">
        <v>0.78</v>
      </c>
      <c r="E113" s="77">
        <v>0.77400000000000002</v>
      </c>
      <c r="F113" s="140"/>
      <c r="G113" s="85">
        <f>(POWER(E113/C113,1/2))-1</f>
        <v>9.1684956594606515E-3</v>
      </c>
      <c r="H113" s="78">
        <v>0.79100287145037518</v>
      </c>
      <c r="I113" s="73">
        <v>0.80013095820712543</v>
      </c>
      <c r="J113" s="73">
        <v>0.81</v>
      </c>
      <c r="K113" s="26">
        <f>(POWER(J113/H113,1/2))-1</f>
        <v>1.1937009019969969E-2</v>
      </c>
    </row>
    <row r="114" spans="1:11" x14ac:dyDescent="0.25">
      <c r="A114" s="6"/>
      <c r="B114" s="5"/>
      <c r="C114" s="5"/>
      <c r="D114" s="5"/>
      <c r="E114" s="31"/>
      <c r="F114" s="140"/>
      <c r="G114" s="85"/>
      <c r="H114" s="39"/>
      <c r="I114" s="5"/>
      <c r="J114" s="5"/>
      <c r="K114" s="26"/>
    </row>
    <row r="115" spans="1:11" x14ac:dyDescent="0.25">
      <c r="A115" s="6">
        <v>15</v>
      </c>
      <c r="B115" s="5" t="s">
        <v>62</v>
      </c>
      <c r="C115" s="5"/>
      <c r="D115" s="5"/>
      <c r="E115" s="31"/>
      <c r="F115" s="140"/>
      <c r="G115" s="85"/>
      <c r="H115" s="39"/>
      <c r="I115" s="5"/>
      <c r="J115" s="5"/>
      <c r="K115" s="26"/>
    </row>
    <row r="116" spans="1:11" x14ac:dyDescent="0.25">
      <c r="A116" s="7"/>
      <c r="B116" s="8" t="s">
        <v>40</v>
      </c>
      <c r="C116" s="88">
        <v>0.73460806722594285</v>
      </c>
      <c r="D116" s="87">
        <v>0.74837316710304946</v>
      </c>
      <c r="E116" s="87">
        <v>0.73165774554421104</v>
      </c>
      <c r="F116" s="140"/>
      <c r="G116" s="86">
        <f t="shared" ref="G116:G120" si="32">(POWER(E116/C116,1/2))-1</f>
        <v>-2.0101126275055003E-3</v>
      </c>
      <c r="H116" s="76">
        <v>0.75</v>
      </c>
      <c r="I116" s="74">
        <v>0.76</v>
      </c>
      <c r="J116" s="74">
        <v>0.77</v>
      </c>
      <c r="K116" s="45">
        <f t="shared" ref="K116:K120" si="33">(POWER(J116/H116,1/2))-1</f>
        <v>1.324561023804427E-2</v>
      </c>
    </row>
    <row r="117" spans="1:11" x14ac:dyDescent="0.25">
      <c r="A117" s="7"/>
      <c r="B117" s="8" t="s">
        <v>41</v>
      </c>
      <c r="C117" s="88">
        <v>0.74717246265056037</v>
      </c>
      <c r="D117" s="87">
        <v>0.77484872088926982</v>
      </c>
      <c r="E117" s="87">
        <v>0.77884346746828004</v>
      </c>
      <c r="F117" s="140"/>
      <c r="G117" s="86">
        <f t="shared" si="32"/>
        <v>2.0973951959792014E-2</v>
      </c>
      <c r="H117" s="76">
        <v>0.79</v>
      </c>
      <c r="I117" s="74">
        <v>0.8</v>
      </c>
      <c r="J117" s="74">
        <v>0.8</v>
      </c>
      <c r="K117" s="45">
        <f t="shared" si="33"/>
        <v>6.3092108532551983E-3</v>
      </c>
    </row>
    <row r="118" spans="1:11" x14ac:dyDescent="0.25">
      <c r="A118" s="7"/>
      <c r="B118" s="8" t="s">
        <v>42</v>
      </c>
      <c r="C118" s="88">
        <v>0.79553018078283311</v>
      </c>
      <c r="D118" s="87">
        <v>0.78829470054647399</v>
      </c>
      <c r="E118" s="87">
        <v>0.79445409664046229</v>
      </c>
      <c r="F118" s="140"/>
      <c r="G118" s="86">
        <f t="shared" si="32"/>
        <v>-6.7656030497864617E-4</v>
      </c>
      <c r="H118" s="76">
        <v>0.8</v>
      </c>
      <c r="I118" s="74">
        <v>0.81</v>
      </c>
      <c r="J118" s="74">
        <v>0.82</v>
      </c>
      <c r="K118" s="45">
        <f t="shared" si="33"/>
        <v>1.2422836565829209E-2</v>
      </c>
    </row>
    <row r="119" spans="1:11" x14ac:dyDescent="0.25">
      <c r="A119" s="7"/>
      <c r="B119" s="8" t="s">
        <v>63</v>
      </c>
      <c r="C119" s="88">
        <v>0.83694823252303896</v>
      </c>
      <c r="D119" s="87">
        <v>0.85753081733447967</v>
      </c>
      <c r="E119" s="87">
        <v>0.8546933536278698</v>
      </c>
      <c r="F119" s="140"/>
      <c r="G119" s="86">
        <f t="shared" si="32"/>
        <v>1.0545482828351549E-2</v>
      </c>
      <c r="H119" s="76">
        <v>0.85</v>
      </c>
      <c r="I119" s="74">
        <v>0.85</v>
      </c>
      <c r="J119" s="74">
        <v>0.85</v>
      </c>
      <c r="K119" s="45">
        <f t="shared" si="33"/>
        <v>0</v>
      </c>
    </row>
    <row r="120" spans="1:11" x14ac:dyDescent="0.25">
      <c r="A120" s="7"/>
      <c r="B120" s="8"/>
      <c r="C120" s="88">
        <v>0.76377875882052682</v>
      </c>
      <c r="D120" s="87">
        <v>0.78024082846051879</v>
      </c>
      <c r="E120" s="87">
        <v>0.76945645191038314</v>
      </c>
      <c r="F120" s="140"/>
      <c r="G120" s="86">
        <f t="shared" si="32"/>
        <v>3.7099621530978233E-3</v>
      </c>
      <c r="H120" s="76">
        <v>0.79</v>
      </c>
      <c r="I120" s="74">
        <v>0.8</v>
      </c>
      <c r="J120" s="74">
        <v>0.81</v>
      </c>
      <c r="K120" s="45">
        <f t="shared" si="33"/>
        <v>1.2579110833421447E-2</v>
      </c>
    </row>
    <row r="121" spans="1:11" x14ac:dyDescent="0.25">
      <c r="A121" s="7"/>
      <c r="B121" s="8"/>
      <c r="C121" s="9"/>
      <c r="D121" s="9"/>
      <c r="E121" s="32"/>
      <c r="F121" s="140"/>
      <c r="G121" s="86"/>
      <c r="H121" s="76"/>
      <c r="I121" s="74"/>
      <c r="J121" s="74"/>
      <c r="K121" s="45"/>
    </row>
    <row r="122" spans="1:11" x14ac:dyDescent="0.25">
      <c r="A122" s="6">
        <v>16</v>
      </c>
      <c r="B122" s="5" t="s">
        <v>64</v>
      </c>
      <c r="C122" s="9"/>
      <c r="D122" s="9"/>
      <c r="E122" s="32"/>
      <c r="F122" s="140"/>
      <c r="G122" s="86"/>
      <c r="H122" s="40"/>
      <c r="I122" s="9"/>
      <c r="J122" s="9"/>
      <c r="K122" s="45"/>
    </row>
    <row r="123" spans="1:11" x14ac:dyDescent="0.25">
      <c r="A123" s="7"/>
      <c r="B123" s="8" t="s">
        <v>10</v>
      </c>
      <c r="C123" s="74">
        <v>0.77</v>
      </c>
      <c r="D123" s="74">
        <v>0.78</v>
      </c>
      <c r="E123" s="88">
        <v>0.77478585461002369</v>
      </c>
      <c r="F123" s="140"/>
      <c r="G123" s="86">
        <f t="shared" ref="G123:G126" si="34">(POWER(E123/C123,1/2))-1</f>
        <v>3.1028838546089954E-3</v>
      </c>
      <c r="H123" s="76">
        <v>0.79519348926350641</v>
      </c>
      <c r="I123" s="74">
        <v>0.80013095820712543</v>
      </c>
      <c r="J123" s="74">
        <v>0.81</v>
      </c>
      <c r="K123" s="45">
        <f t="shared" ref="K123:K126" si="35">(POWER(J123/H123,1/2))-1</f>
        <v>9.2670657552438307E-3</v>
      </c>
    </row>
    <row r="124" spans="1:11" x14ac:dyDescent="0.25">
      <c r="A124" s="7"/>
      <c r="B124" s="8" t="s">
        <v>65</v>
      </c>
      <c r="C124" s="74">
        <v>0.8</v>
      </c>
      <c r="D124" s="74">
        <v>0.8</v>
      </c>
      <c r="E124" s="88">
        <v>0.77889503554632233</v>
      </c>
      <c r="F124" s="140"/>
      <c r="G124" s="86">
        <f t="shared" si="34"/>
        <v>-1.3278765591363761E-2</v>
      </c>
      <c r="H124" s="76">
        <v>0.8031263489618411</v>
      </c>
      <c r="I124" s="74">
        <v>0.8109740047692372</v>
      </c>
      <c r="J124" s="74">
        <v>0.82</v>
      </c>
      <c r="K124" s="45">
        <f t="shared" si="35"/>
        <v>1.0450373952801684E-2</v>
      </c>
    </row>
    <row r="125" spans="1:11" x14ac:dyDescent="0.25">
      <c r="A125" s="7"/>
      <c r="B125" s="8" t="s">
        <v>66</v>
      </c>
      <c r="C125" s="74">
        <v>0.63</v>
      </c>
      <c r="D125" s="74">
        <v>0.65</v>
      </c>
      <c r="E125" s="88">
        <v>0.63143613315751512</v>
      </c>
      <c r="F125" s="140"/>
      <c r="G125" s="86">
        <f t="shared" si="34"/>
        <v>1.1391394009625522E-3</v>
      </c>
      <c r="H125" s="76">
        <v>0.66153261971762811</v>
      </c>
      <c r="I125" s="74">
        <v>0.67</v>
      </c>
      <c r="J125" s="74">
        <v>0.68</v>
      </c>
      <c r="K125" s="45">
        <f t="shared" si="35"/>
        <v>1.3861950129675948E-2</v>
      </c>
    </row>
    <row r="126" spans="1:11" x14ac:dyDescent="0.25">
      <c r="A126" s="7"/>
      <c r="B126" s="8" t="s">
        <v>67</v>
      </c>
      <c r="C126" s="74">
        <v>0.54</v>
      </c>
      <c r="D126" s="74">
        <v>0.77</v>
      </c>
      <c r="E126" s="88">
        <v>0.68928132491553373</v>
      </c>
      <c r="F126" s="140"/>
      <c r="G126" s="86">
        <f t="shared" si="34"/>
        <v>0.12979949459704088</v>
      </c>
      <c r="H126" s="76">
        <v>0.77508507982357</v>
      </c>
      <c r="I126" s="74">
        <v>0.78</v>
      </c>
      <c r="J126" s="74">
        <v>0.78</v>
      </c>
      <c r="K126" s="45">
        <f t="shared" si="35"/>
        <v>3.1655577984721628E-3</v>
      </c>
    </row>
    <row r="127" spans="1:11" x14ac:dyDescent="0.25">
      <c r="A127" s="7"/>
      <c r="B127" s="8"/>
      <c r="C127" s="9"/>
      <c r="D127" s="9"/>
      <c r="F127" s="140"/>
      <c r="G127" s="86"/>
      <c r="H127" s="40"/>
      <c r="I127" s="9"/>
      <c r="J127" s="9"/>
      <c r="K127" s="45"/>
    </row>
    <row r="128" spans="1:11" s="1" customFormat="1" x14ac:dyDescent="0.25">
      <c r="A128" s="6">
        <v>17</v>
      </c>
      <c r="B128" s="5" t="s">
        <v>68</v>
      </c>
      <c r="C128" s="11"/>
      <c r="D128" s="11"/>
      <c r="E128" s="33"/>
      <c r="F128" s="140"/>
      <c r="G128" s="85"/>
      <c r="H128" s="41"/>
      <c r="I128" s="11"/>
      <c r="J128" s="11"/>
      <c r="K128" s="26"/>
    </row>
    <row r="129" spans="1:11" x14ac:dyDescent="0.25">
      <c r="A129" s="7"/>
      <c r="B129" s="8"/>
      <c r="C129" s="9"/>
      <c r="D129" s="9"/>
      <c r="E129" s="32"/>
      <c r="F129" s="140"/>
      <c r="G129" s="86"/>
      <c r="H129" s="40"/>
      <c r="I129" s="9"/>
      <c r="J129" s="9"/>
      <c r="K129" s="45"/>
    </row>
    <row r="130" spans="1:11" x14ac:dyDescent="0.25">
      <c r="A130" s="7"/>
      <c r="B130" s="8" t="s">
        <v>34</v>
      </c>
      <c r="C130" s="74">
        <v>0.76</v>
      </c>
      <c r="D130" s="74">
        <v>0.78</v>
      </c>
      <c r="E130" s="75">
        <v>0.76432660556015131</v>
      </c>
      <c r="F130" s="140"/>
      <c r="G130" s="86">
        <f t="shared" ref="G130:G134" si="36">(POWER(E130/C130,1/2))-1</f>
        <v>2.8424113752023583E-3</v>
      </c>
      <c r="H130" s="76">
        <v>0.79548657235315856</v>
      </c>
      <c r="I130" s="74">
        <v>0.79910395587248317</v>
      </c>
      <c r="J130" s="74">
        <v>0.81</v>
      </c>
      <c r="K130" s="45">
        <f t="shared" ref="K130:K134" si="37">(POWER(J130/H130,1/2))-1</f>
        <v>9.0811252436644452E-3</v>
      </c>
    </row>
    <row r="131" spans="1:11" x14ac:dyDescent="0.25">
      <c r="A131" s="7"/>
      <c r="B131" s="8" t="s">
        <v>69</v>
      </c>
      <c r="C131" s="74">
        <v>0.72</v>
      </c>
      <c r="D131" s="74">
        <v>0.73</v>
      </c>
      <c r="E131" s="75">
        <v>0.73170291220996819</v>
      </c>
      <c r="F131" s="140"/>
      <c r="G131" s="86">
        <f t="shared" si="36"/>
        <v>8.0942638146825896E-3</v>
      </c>
      <c r="H131" s="76">
        <v>0.75917451205546715</v>
      </c>
      <c r="I131" s="74">
        <v>0.76993973898269585</v>
      </c>
      <c r="J131" s="74">
        <v>0.78</v>
      </c>
      <c r="K131" s="45">
        <f t="shared" si="37"/>
        <v>1.3623082473927406E-2</v>
      </c>
    </row>
    <row r="132" spans="1:11" x14ac:dyDescent="0.25">
      <c r="A132" s="7"/>
      <c r="B132" s="8" t="s">
        <v>36</v>
      </c>
      <c r="C132" s="74">
        <v>0.89</v>
      </c>
      <c r="D132" s="74">
        <v>0.91</v>
      </c>
      <c r="E132" s="75">
        <v>0.91237180498579995</v>
      </c>
      <c r="F132" s="140"/>
      <c r="G132" s="86">
        <f t="shared" si="36"/>
        <v>1.2490424416254253E-2</v>
      </c>
      <c r="H132" s="76">
        <v>0.90559473157121873</v>
      </c>
      <c r="I132" s="74">
        <v>0.89864394367129363</v>
      </c>
      <c r="J132" s="74">
        <v>0.9</v>
      </c>
      <c r="K132" s="45">
        <f t="shared" si="37"/>
        <v>-3.0937676555256033E-3</v>
      </c>
    </row>
    <row r="133" spans="1:11" x14ac:dyDescent="0.25">
      <c r="A133" s="7"/>
      <c r="B133" s="8" t="s">
        <v>37</v>
      </c>
      <c r="C133" s="74">
        <v>0.77</v>
      </c>
      <c r="D133" s="74">
        <v>0.79</v>
      </c>
      <c r="E133" s="75">
        <v>0.78007714695920616</v>
      </c>
      <c r="F133" s="140"/>
      <c r="G133" s="86">
        <f t="shared" si="36"/>
        <v>6.5223315173512653E-3</v>
      </c>
      <c r="H133" s="76">
        <v>0.7963026080947545</v>
      </c>
      <c r="I133" s="74">
        <v>0.80000337591815596</v>
      </c>
      <c r="J133" s="74">
        <v>0.81</v>
      </c>
      <c r="K133" s="45">
        <f t="shared" si="37"/>
        <v>8.5639491555973279E-3</v>
      </c>
    </row>
    <row r="134" spans="1:11" s="1" customFormat="1" x14ac:dyDescent="0.25">
      <c r="A134" s="6"/>
      <c r="B134" s="5" t="s">
        <v>70</v>
      </c>
      <c r="C134" s="73">
        <v>0.76</v>
      </c>
      <c r="D134" s="73">
        <v>0.78</v>
      </c>
      <c r="E134" s="77">
        <v>0.76945645191038314</v>
      </c>
      <c r="F134" s="140"/>
      <c r="G134" s="86">
        <f t="shared" si="36"/>
        <v>6.2021168145507399E-3</v>
      </c>
      <c r="H134" s="78">
        <v>0.79098608503279211</v>
      </c>
      <c r="I134" s="73">
        <v>0.79596554070693859</v>
      </c>
      <c r="J134" s="73">
        <v>0.81</v>
      </c>
      <c r="K134" s="26">
        <f t="shared" si="37"/>
        <v>1.19477466975344E-2</v>
      </c>
    </row>
    <row r="135" spans="1:11" s="19" customFormat="1" x14ac:dyDescent="0.25">
      <c r="A135" s="51"/>
      <c r="C135" s="52"/>
      <c r="D135" s="52"/>
      <c r="E135" s="52"/>
      <c r="F135" s="140"/>
      <c r="G135" s="53"/>
      <c r="H135" s="52"/>
      <c r="I135" s="52"/>
      <c r="J135" s="52"/>
      <c r="K135" s="53"/>
    </row>
    <row r="136" spans="1:11" ht="60" x14ac:dyDescent="0.25">
      <c r="A136" s="2" t="s">
        <v>2</v>
      </c>
      <c r="B136" s="3" t="s">
        <v>3</v>
      </c>
      <c r="C136" s="4">
        <v>2011</v>
      </c>
      <c r="D136" s="4">
        <v>2012</v>
      </c>
      <c r="E136" s="29">
        <v>2013</v>
      </c>
      <c r="F136" s="50" t="s">
        <v>60</v>
      </c>
      <c r="G136" s="28" t="s">
        <v>57</v>
      </c>
      <c r="H136" s="37">
        <v>2017</v>
      </c>
      <c r="I136" s="49" t="s">
        <v>59</v>
      </c>
      <c r="J136" s="4">
        <v>2020</v>
      </c>
      <c r="K136" s="28" t="s">
        <v>58</v>
      </c>
    </row>
    <row r="137" spans="1:11" s="63" customFormat="1" x14ac:dyDescent="0.25">
      <c r="A137" s="58">
        <v>18</v>
      </c>
      <c r="B137" s="57" t="s">
        <v>71</v>
      </c>
      <c r="C137" s="58"/>
      <c r="D137" s="58"/>
      <c r="E137" s="59"/>
      <c r="F137" s="137"/>
      <c r="G137" s="60"/>
      <c r="H137" s="61"/>
      <c r="I137" s="62"/>
      <c r="J137" s="58"/>
      <c r="K137" s="60"/>
    </row>
    <row r="138" spans="1:11" s="63" customFormat="1" x14ac:dyDescent="0.25">
      <c r="A138" s="56"/>
      <c r="B138" s="57"/>
      <c r="C138" s="58"/>
      <c r="D138" s="58"/>
      <c r="E138" s="59"/>
      <c r="F138" s="138"/>
      <c r="G138" s="60"/>
      <c r="H138" s="61"/>
      <c r="I138" s="62"/>
      <c r="J138" s="58"/>
      <c r="K138" s="60"/>
    </row>
    <row r="139" spans="1:11" s="63" customFormat="1" x14ac:dyDescent="0.25">
      <c r="A139" s="56"/>
      <c r="B139" s="66" t="s">
        <v>72</v>
      </c>
      <c r="C139" s="91">
        <v>579</v>
      </c>
      <c r="D139" s="91">
        <v>596</v>
      </c>
      <c r="E139" s="92">
        <v>606</v>
      </c>
      <c r="F139" s="138"/>
      <c r="G139" s="117">
        <f>(POWER(E139/C139,1/2))-1</f>
        <v>2.3050401667645826E-2</v>
      </c>
      <c r="H139" s="118">
        <v>714</v>
      </c>
      <c r="I139" s="91">
        <v>762</v>
      </c>
      <c r="J139" s="119">
        <v>765</v>
      </c>
      <c r="K139" s="117">
        <f>(POWER(J139/E139,1/7))-1</f>
        <v>3.3845268331154088E-2</v>
      </c>
    </row>
    <row r="140" spans="1:11" s="68" customFormat="1" x14ac:dyDescent="0.25">
      <c r="A140" s="67"/>
      <c r="B140" s="66" t="s">
        <v>73</v>
      </c>
      <c r="C140" s="93">
        <v>302</v>
      </c>
      <c r="D140" s="93">
        <v>316</v>
      </c>
      <c r="E140" s="94">
        <v>328</v>
      </c>
      <c r="F140" s="138"/>
      <c r="G140" s="120">
        <f t="shared" ref="G140:G142" si="38">(POWER(E140/C140,1/2))-1</f>
        <v>4.2157720900146689E-2</v>
      </c>
      <c r="H140" s="121">
        <v>328</v>
      </c>
      <c r="I140" s="93">
        <v>330</v>
      </c>
      <c r="J140" s="93">
        <v>330</v>
      </c>
      <c r="K140" s="120">
        <f t="shared" ref="K140:K142" si="39">(POWER(J140/E140,1/7))-1</f>
        <v>8.6881235276003999E-4</v>
      </c>
    </row>
    <row r="141" spans="1:11" s="68" customFormat="1" x14ac:dyDescent="0.25">
      <c r="A141" s="67"/>
      <c r="B141" s="66" t="s">
        <v>74</v>
      </c>
      <c r="C141" s="93">
        <v>736</v>
      </c>
      <c r="D141" s="93">
        <v>731</v>
      </c>
      <c r="E141" s="94">
        <v>739</v>
      </c>
      <c r="F141" s="138"/>
      <c r="G141" s="120">
        <f t="shared" si="38"/>
        <v>2.0359708895294482E-3</v>
      </c>
      <c r="H141" s="121">
        <v>775</v>
      </c>
      <c r="I141" s="93">
        <v>799</v>
      </c>
      <c r="J141" s="93">
        <v>799</v>
      </c>
      <c r="K141" s="120">
        <f t="shared" si="39"/>
        <v>1.1214274480902953E-2</v>
      </c>
    </row>
    <row r="142" spans="1:11" s="69" customFormat="1" x14ac:dyDescent="0.25">
      <c r="A142" s="56"/>
      <c r="B142" s="57" t="s">
        <v>12</v>
      </c>
      <c r="C142" s="91">
        <f>SUM(C139:C141)</f>
        <v>1617</v>
      </c>
      <c r="D142" s="91">
        <f>SUM(D139:D141)</f>
        <v>1643</v>
      </c>
      <c r="E142" s="92">
        <f>SUM(E139:E141)</f>
        <v>1673</v>
      </c>
      <c r="F142" s="138"/>
      <c r="G142" s="117">
        <f t="shared" si="38"/>
        <v>1.7168636280157079E-2</v>
      </c>
      <c r="H142" s="118">
        <f>SUM(H139:H141)</f>
        <v>1817</v>
      </c>
      <c r="I142" s="118">
        <f>SUM(I139:I141)</f>
        <v>1891</v>
      </c>
      <c r="J142" s="91">
        <f>SUM(J139:J141)</f>
        <v>1894</v>
      </c>
      <c r="K142" s="117">
        <f t="shared" si="39"/>
        <v>1.7882667117506967E-2</v>
      </c>
    </row>
    <row r="143" spans="1:11" s="68" customFormat="1" x14ac:dyDescent="0.25">
      <c r="A143" s="67"/>
      <c r="B143" s="66"/>
      <c r="C143" s="93"/>
      <c r="D143" s="93"/>
      <c r="E143" s="94"/>
      <c r="F143" s="138"/>
      <c r="G143" s="120"/>
      <c r="H143" s="121"/>
      <c r="I143" s="122"/>
      <c r="J143" s="93"/>
      <c r="K143" s="120"/>
    </row>
    <row r="144" spans="1:11" s="69" customFormat="1" ht="30" x14ac:dyDescent="0.25">
      <c r="A144" s="58">
        <v>19</v>
      </c>
      <c r="B144" s="57" t="s">
        <v>107</v>
      </c>
      <c r="C144" s="91"/>
      <c r="D144" s="91"/>
      <c r="E144" s="92"/>
      <c r="F144" s="138"/>
      <c r="G144" s="117"/>
      <c r="H144" s="118"/>
      <c r="I144" s="123"/>
      <c r="J144" s="91"/>
      <c r="K144" s="117"/>
    </row>
    <row r="145" spans="1:11" s="68" customFormat="1" x14ac:dyDescent="0.25">
      <c r="A145" s="67"/>
      <c r="B145" s="66"/>
      <c r="C145" s="93"/>
      <c r="D145" s="93"/>
      <c r="E145" s="94"/>
      <c r="F145" s="138"/>
      <c r="G145" s="120"/>
      <c r="H145" s="121"/>
      <c r="I145" s="122"/>
      <c r="J145" s="93"/>
      <c r="K145" s="120"/>
    </row>
    <row r="146" spans="1:11" s="68" customFormat="1" x14ac:dyDescent="0.25">
      <c r="A146" s="67"/>
      <c r="B146" s="66" t="s">
        <v>40</v>
      </c>
      <c r="C146" s="95">
        <v>0.2</v>
      </c>
      <c r="D146" s="95">
        <v>0.22</v>
      </c>
      <c r="E146" s="96">
        <v>0.22</v>
      </c>
      <c r="F146" s="138"/>
      <c r="G146" s="120">
        <f>(POWER(E146/C146,1/2))-1</f>
        <v>4.8808848170151409E-2</v>
      </c>
      <c r="H146" s="142">
        <v>0.23</v>
      </c>
      <c r="I146" s="144">
        <v>0.25</v>
      </c>
      <c r="J146" s="95">
        <v>0.27</v>
      </c>
      <c r="K146" s="120">
        <f>(POWER(J146/E146,1/7))-1</f>
        <v>2.9688515802589466E-2</v>
      </c>
    </row>
    <row r="147" spans="1:11" s="68" customFormat="1" x14ac:dyDescent="0.25">
      <c r="A147" s="67"/>
      <c r="B147" s="66" t="s">
        <v>41</v>
      </c>
      <c r="C147" s="95">
        <v>0.2</v>
      </c>
      <c r="D147" s="95">
        <v>0.21</v>
      </c>
      <c r="E147" s="96">
        <v>0.22</v>
      </c>
      <c r="F147" s="138"/>
      <c r="G147" s="120">
        <f t="shared" ref="G147:G149" si="40">(POWER(E147/C147,1/2))-1</f>
        <v>4.8808848170151409E-2</v>
      </c>
      <c r="H147" s="142">
        <v>0.23</v>
      </c>
      <c r="I147" s="144">
        <v>0.24</v>
      </c>
      <c r="J147" s="95">
        <v>0.25</v>
      </c>
      <c r="K147" s="120">
        <f t="shared" ref="K147:K149" si="41">(POWER(J147/E147,1/7))-1</f>
        <v>1.842967859904765E-2</v>
      </c>
    </row>
    <row r="148" spans="1:11" s="68" customFormat="1" x14ac:dyDescent="0.25">
      <c r="A148" s="67"/>
      <c r="B148" s="66" t="s">
        <v>42</v>
      </c>
      <c r="C148" s="95">
        <v>0.05</v>
      </c>
      <c r="D148" s="95">
        <v>0.04</v>
      </c>
      <c r="E148" s="96">
        <v>0.05</v>
      </c>
      <c r="F148" s="138"/>
      <c r="G148" s="120">
        <f t="shared" si="40"/>
        <v>0</v>
      </c>
      <c r="H148" s="142">
        <v>0.05</v>
      </c>
      <c r="I148" s="144">
        <v>0.05</v>
      </c>
      <c r="J148" s="95">
        <v>0.05</v>
      </c>
      <c r="K148" s="120">
        <f t="shared" si="41"/>
        <v>0</v>
      </c>
    </row>
    <row r="149" spans="1:11" s="68" customFormat="1" x14ac:dyDescent="0.25">
      <c r="A149" s="67"/>
      <c r="B149" s="66" t="s">
        <v>43</v>
      </c>
      <c r="C149" s="95">
        <v>0.55000000000000004</v>
      </c>
      <c r="D149" s="95">
        <v>0.53</v>
      </c>
      <c r="E149" s="96">
        <v>0.52</v>
      </c>
      <c r="F149" s="138"/>
      <c r="G149" s="120">
        <f t="shared" si="40"/>
        <v>-2.7655130391204596E-2</v>
      </c>
      <c r="H149" s="142">
        <v>0.49</v>
      </c>
      <c r="I149" s="144">
        <v>0.46</v>
      </c>
      <c r="J149" s="95">
        <v>0.43</v>
      </c>
      <c r="K149" s="120">
        <f t="shared" si="41"/>
        <v>-2.6783862316422602E-2</v>
      </c>
    </row>
    <row r="150" spans="1:11" s="69" customFormat="1" x14ac:dyDescent="0.25">
      <c r="A150" s="56"/>
      <c r="B150" s="57" t="s">
        <v>12</v>
      </c>
      <c r="C150" s="97">
        <v>1</v>
      </c>
      <c r="D150" s="97">
        <v>1</v>
      </c>
      <c r="E150" s="98">
        <v>1</v>
      </c>
      <c r="F150" s="138"/>
      <c r="G150" s="117"/>
      <c r="H150" s="143">
        <v>1</v>
      </c>
      <c r="I150" s="145">
        <v>1</v>
      </c>
      <c r="J150" s="97">
        <v>1</v>
      </c>
      <c r="K150" s="117"/>
    </row>
    <row r="151" spans="1:11" s="63" customFormat="1" x14ac:dyDescent="0.25">
      <c r="A151" s="64"/>
      <c r="B151" s="65"/>
      <c r="C151" s="99"/>
      <c r="D151" s="99"/>
      <c r="E151" s="100"/>
      <c r="F151" s="138"/>
      <c r="G151" s="124"/>
      <c r="H151" s="125"/>
      <c r="I151" s="99"/>
      <c r="J151" s="99"/>
      <c r="K151" s="124"/>
    </row>
    <row r="152" spans="1:11" s="69" customFormat="1" x14ac:dyDescent="0.25">
      <c r="A152" s="58">
        <v>20</v>
      </c>
      <c r="B152" s="57" t="s">
        <v>108</v>
      </c>
      <c r="C152" s="91"/>
      <c r="D152" s="91"/>
      <c r="E152" s="92"/>
      <c r="F152" s="138"/>
      <c r="G152" s="117"/>
      <c r="H152" s="118"/>
      <c r="I152" s="123"/>
      <c r="J152" s="91"/>
      <c r="K152" s="117"/>
    </row>
    <row r="153" spans="1:11" s="68" customFormat="1" x14ac:dyDescent="0.25">
      <c r="A153" s="67"/>
      <c r="B153" s="66"/>
      <c r="C153" s="93"/>
      <c r="D153" s="93"/>
      <c r="E153" s="94"/>
      <c r="F153" s="138"/>
      <c r="G153" s="120"/>
      <c r="H153" s="121"/>
      <c r="I153" s="122"/>
      <c r="J153" s="93"/>
      <c r="K153" s="120"/>
    </row>
    <row r="154" spans="1:11" s="68" customFormat="1" x14ac:dyDescent="0.25">
      <c r="A154" s="67"/>
      <c r="B154" s="66" t="s">
        <v>40</v>
      </c>
      <c r="C154" s="95">
        <v>0.12</v>
      </c>
      <c r="D154" s="95">
        <v>0.12</v>
      </c>
      <c r="E154" s="96">
        <v>0.13</v>
      </c>
      <c r="F154" s="138"/>
      <c r="G154" s="120">
        <f>(POWER(E154/C154,1/2))-1</f>
        <v>4.0832999733066533E-2</v>
      </c>
      <c r="H154" s="142">
        <v>0.15</v>
      </c>
      <c r="I154" s="144">
        <v>0.17</v>
      </c>
      <c r="J154" s="95">
        <v>0.19</v>
      </c>
      <c r="K154" s="120">
        <f>(POWER(J154/E154,1/7))-1</f>
        <v>5.5709236451749966E-2</v>
      </c>
    </row>
    <row r="155" spans="1:11" s="68" customFormat="1" x14ac:dyDescent="0.25">
      <c r="A155" s="67"/>
      <c r="B155" s="66" t="s">
        <v>41</v>
      </c>
      <c r="C155" s="95">
        <v>0.1</v>
      </c>
      <c r="D155" s="95">
        <v>0.11</v>
      </c>
      <c r="E155" s="96">
        <v>0.1</v>
      </c>
      <c r="F155" s="138"/>
      <c r="G155" s="120">
        <f t="shared" ref="G155:G157" si="42">(POWER(E155/C155,1/2))-1</f>
        <v>0</v>
      </c>
      <c r="H155" s="142">
        <v>0.11</v>
      </c>
      <c r="I155" s="144">
        <v>0.12</v>
      </c>
      <c r="J155" s="95">
        <v>0.13</v>
      </c>
      <c r="K155" s="120">
        <f t="shared" ref="K155:K157" si="43">(POWER(J155/E155,1/7))-1</f>
        <v>3.8191865525825985E-2</v>
      </c>
    </row>
    <row r="156" spans="1:11" s="68" customFormat="1" x14ac:dyDescent="0.25">
      <c r="A156" s="67"/>
      <c r="B156" s="66" t="s">
        <v>42</v>
      </c>
      <c r="C156" s="95">
        <v>0.03</v>
      </c>
      <c r="D156" s="95">
        <v>0.03</v>
      </c>
      <c r="E156" s="96">
        <v>0.03</v>
      </c>
      <c r="F156" s="138"/>
      <c r="G156" s="120">
        <f t="shared" si="42"/>
        <v>0</v>
      </c>
      <c r="H156" s="142">
        <v>3.2000000000000001E-2</v>
      </c>
      <c r="I156" s="144">
        <v>0.03</v>
      </c>
      <c r="J156" s="95">
        <v>0.03</v>
      </c>
      <c r="K156" s="120">
        <f t="shared" si="43"/>
        <v>0</v>
      </c>
    </row>
    <row r="157" spans="1:11" s="68" customFormat="1" x14ac:dyDescent="0.25">
      <c r="A157" s="67"/>
      <c r="B157" s="66" t="s">
        <v>43</v>
      </c>
      <c r="C157" s="95">
        <v>0.75</v>
      </c>
      <c r="D157" s="95">
        <v>0.74</v>
      </c>
      <c r="E157" s="96">
        <v>0.73</v>
      </c>
      <c r="F157" s="138"/>
      <c r="G157" s="120">
        <f t="shared" si="42"/>
        <v>-1.3423427536750521E-2</v>
      </c>
      <c r="H157" s="142">
        <v>0.71</v>
      </c>
      <c r="I157" s="144">
        <v>0.68</v>
      </c>
      <c r="J157" s="95">
        <v>0.65</v>
      </c>
      <c r="K157" s="120">
        <f t="shared" si="43"/>
        <v>-1.64450184502275E-2</v>
      </c>
    </row>
    <row r="158" spans="1:11" s="69" customFormat="1" x14ac:dyDescent="0.25">
      <c r="A158" s="56"/>
      <c r="B158" s="57" t="s">
        <v>12</v>
      </c>
      <c r="C158" s="97">
        <v>1</v>
      </c>
      <c r="D158" s="97">
        <v>1</v>
      </c>
      <c r="E158" s="98">
        <v>1</v>
      </c>
      <c r="F158" s="138"/>
      <c r="G158" s="117"/>
      <c r="H158" s="143">
        <v>1</v>
      </c>
      <c r="I158" s="145">
        <v>1</v>
      </c>
      <c r="J158" s="97">
        <v>1</v>
      </c>
      <c r="K158" s="117"/>
    </row>
    <row r="159" spans="1:11" s="63" customFormat="1" x14ac:dyDescent="0.25">
      <c r="A159" s="64"/>
      <c r="B159" s="65"/>
      <c r="C159" s="99"/>
      <c r="D159" s="99"/>
      <c r="E159" s="100"/>
      <c r="F159" s="138"/>
      <c r="G159" s="124"/>
      <c r="H159" s="125"/>
      <c r="I159" s="99"/>
      <c r="J159" s="99"/>
      <c r="K159" s="124"/>
    </row>
    <row r="160" spans="1:11" s="69" customFormat="1" x14ac:dyDescent="0.25">
      <c r="A160" s="58">
        <v>21</v>
      </c>
      <c r="B160" s="57" t="s">
        <v>109</v>
      </c>
      <c r="C160" s="91"/>
      <c r="D160" s="91"/>
      <c r="E160" s="92"/>
      <c r="F160" s="138"/>
      <c r="G160" s="117"/>
      <c r="H160" s="118"/>
      <c r="I160" s="123"/>
      <c r="J160" s="91"/>
      <c r="K160" s="117"/>
    </row>
    <row r="161" spans="1:11" s="68" customFormat="1" x14ac:dyDescent="0.25">
      <c r="A161" s="67"/>
      <c r="B161" s="66"/>
      <c r="C161" s="93"/>
      <c r="D161" s="93"/>
      <c r="E161" s="94"/>
      <c r="F161" s="138"/>
      <c r="G161" s="120"/>
      <c r="H161" s="121"/>
      <c r="I161" s="122"/>
      <c r="J161" s="93"/>
      <c r="K161" s="120"/>
    </row>
    <row r="162" spans="1:11" s="68" customFormat="1" x14ac:dyDescent="0.25">
      <c r="A162" s="67"/>
      <c r="B162" s="66" t="s">
        <v>38</v>
      </c>
      <c r="C162" s="95">
        <v>0.46</v>
      </c>
      <c r="D162" s="95">
        <v>0.44</v>
      </c>
      <c r="E162" s="96">
        <v>0.44</v>
      </c>
      <c r="F162" s="138"/>
      <c r="G162" s="120">
        <f>(POWER(E162/C162,1/2))-1</f>
        <v>-2.1980706156348506E-2</v>
      </c>
      <c r="H162" s="142">
        <v>0.45</v>
      </c>
      <c r="I162" s="142">
        <v>0.45</v>
      </c>
      <c r="J162" s="142">
        <v>0.45</v>
      </c>
      <c r="K162" s="120">
        <f>(POWER(J162/E162,1/7))-1</f>
        <v>3.2155668577855678E-3</v>
      </c>
    </row>
    <row r="163" spans="1:11" s="68" customFormat="1" x14ac:dyDescent="0.25">
      <c r="A163" s="67"/>
      <c r="B163" s="66" t="s">
        <v>39</v>
      </c>
      <c r="C163" s="95">
        <v>0.54</v>
      </c>
      <c r="D163" s="95">
        <v>0.56000000000000005</v>
      </c>
      <c r="E163" s="96">
        <v>0.56000000000000005</v>
      </c>
      <c r="F163" s="138"/>
      <c r="G163" s="120">
        <f t="shared" ref="G163" si="44">(POWER(E163/C163,1/2))-1</f>
        <v>1.8350154434631172E-2</v>
      </c>
      <c r="H163" s="142">
        <v>0.55000000000000004</v>
      </c>
      <c r="I163" s="142">
        <v>0.55000000000000004</v>
      </c>
      <c r="J163" s="142">
        <v>0.55000000000000004</v>
      </c>
      <c r="K163" s="120">
        <f t="shared" ref="K163:K165" si="45">(POWER(J163/E163,1/7))-1</f>
        <v>-2.5707621315252949E-3</v>
      </c>
    </row>
    <row r="164" spans="1:11" s="69" customFormat="1" x14ac:dyDescent="0.25">
      <c r="A164" s="56"/>
      <c r="B164" s="57" t="s">
        <v>12</v>
      </c>
      <c r="C164" s="97">
        <v>1</v>
      </c>
      <c r="D164" s="97">
        <v>1</v>
      </c>
      <c r="E164" s="98">
        <v>1</v>
      </c>
      <c r="F164" s="138"/>
      <c r="G164" s="120"/>
      <c r="H164" s="143">
        <v>1</v>
      </c>
      <c r="I164" s="143">
        <v>1</v>
      </c>
      <c r="J164" s="143">
        <v>1</v>
      </c>
      <c r="K164" s="120"/>
    </row>
    <row r="165" spans="1:11" s="63" customFormat="1" x14ac:dyDescent="0.25">
      <c r="A165" s="64"/>
      <c r="B165" s="65"/>
      <c r="C165" s="99"/>
      <c r="D165" s="99"/>
      <c r="E165" s="100"/>
      <c r="F165" s="138"/>
      <c r="G165" s="120"/>
      <c r="H165" s="125"/>
      <c r="I165" s="99"/>
      <c r="J165" s="99"/>
      <c r="K165" s="120"/>
    </row>
    <row r="166" spans="1:11" s="69" customFormat="1" x14ac:dyDescent="0.25">
      <c r="A166" s="58">
        <v>22</v>
      </c>
      <c r="B166" s="57" t="s">
        <v>99</v>
      </c>
      <c r="C166" s="91"/>
      <c r="D166" s="91"/>
      <c r="E166" s="92"/>
      <c r="F166" s="138"/>
      <c r="G166" s="117"/>
      <c r="H166" s="118"/>
      <c r="I166" s="123"/>
      <c r="J166" s="91"/>
      <c r="K166" s="117"/>
    </row>
    <row r="167" spans="1:11" s="68" customFormat="1" x14ac:dyDescent="0.25">
      <c r="A167" s="67"/>
      <c r="B167" s="66"/>
      <c r="C167" s="93"/>
      <c r="D167" s="93"/>
      <c r="E167" s="94"/>
      <c r="F167" s="138"/>
      <c r="G167" s="120"/>
      <c r="H167" s="121"/>
      <c r="I167" s="122"/>
      <c r="J167" s="93"/>
      <c r="K167" s="120"/>
    </row>
    <row r="168" spans="1:11" s="68" customFormat="1" x14ac:dyDescent="0.25">
      <c r="A168" s="67"/>
      <c r="B168" s="66" t="s">
        <v>38</v>
      </c>
      <c r="C168" s="95">
        <v>0.54</v>
      </c>
      <c r="D168" s="95">
        <v>0.53</v>
      </c>
      <c r="E168" s="96">
        <v>0.53</v>
      </c>
      <c r="F168" s="138"/>
      <c r="G168" s="120">
        <f>(POWER(E168/C168,1/2))-1</f>
        <v>-9.3025277707218246E-3</v>
      </c>
      <c r="H168" s="142">
        <v>0.52</v>
      </c>
      <c r="I168" s="144">
        <v>0.51</v>
      </c>
      <c r="J168" s="95">
        <v>0.5</v>
      </c>
      <c r="K168" s="120">
        <f>(POWER(J168/E168,1/7))-1</f>
        <v>-8.2895800957796251E-3</v>
      </c>
    </row>
    <row r="169" spans="1:11" s="68" customFormat="1" x14ac:dyDescent="0.25">
      <c r="A169" s="67"/>
      <c r="B169" s="66" t="s">
        <v>39</v>
      </c>
      <c r="C169" s="95">
        <v>0.46</v>
      </c>
      <c r="D169" s="95">
        <v>0.47</v>
      </c>
      <c r="E169" s="96">
        <v>0.47</v>
      </c>
      <c r="F169" s="138"/>
      <c r="G169" s="120">
        <f t="shared" ref="G169" si="46">(POWER(E169/C169,1/2))-1</f>
        <v>1.0811125005449451E-2</v>
      </c>
      <c r="H169" s="142">
        <v>0.48</v>
      </c>
      <c r="I169" s="144">
        <v>0.49</v>
      </c>
      <c r="J169" s="95">
        <v>0.5</v>
      </c>
      <c r="K169" s="120">
        <f t="shared" ref="K169:K170" si="47">(POWER(J169/E169,1/7))-1</f>
        <v>8.8785257477519419E-3</v>
      </c>
    </row>
    <row r="170" spans="1:11" s="69" customFormat="1" x14ac:dyDescent="0.25">
      <c r="A170" s="56"/>
      <c r="B170" s="57" t="s">
        <v>12</v>
      </c>
      <c r="C170" s="97">
        <v>1</v>
      </c>
      <c r="D170" s="97">
        <v>1</v>
      </c>
      <c r="E170" s="98">
        <v>1</v>
      </c>
      <c r="F170" s="138"/>
      <c r="G170" s="117"/>
      <c r="H170" s="143">
        <v>1</v>
      </c>
      <c r="I170" s="145">
        <v>1</v>
      </c>
      <c r="J170" s="97">
        <v>1</v>
      </c>
      <c r="K170" s="120"/>
    </row>
    <row r="171" spans="1:11" s="63" customFormat="1" x14ac:dyDescent="0.25">
      <c r="A171" s="64"/>
      <c r="B171" s="65"/>
      <c r="C171" s="99"/>
      <c r="D171" s="99"/>
      <c r="E171" s="100"/>
      <c r="F171" s="138"/>
      <c r="G171" s="124"/>
      <c r="H171" s="125"/>
      <c r="I171" s="99"/>
      <c r="J171" s="99"/>
      <c r="K171" s="124"/>
    </row>
    <row r="172" spans="1:11" s="69" customFormat="1" x14ac:dyDescent="0.25">
      <c r="A172" s="58">
        <v>23</v>
      </c>
      <c r="B172" s="57" t="s">
        <v>100</v>
      </c>
      <c r="C172" s="91"/>
      <c r="D172" s="91"/>
      <c r="E172" s="92"/>
      <c r="F172" s="138"/>
      <c r="G172" s="117"/>
      <c r="H172" s="118"/>
      <c r="I172" s="123"/>
      <c r="J172" s="91"/>
      <c r="K172" s="117"/>
    </row>
    <row r="173" spans="1:11" s="68" customFormat="1" x14ac:dyDescent="0.25">
      <c r="A173" s="67"/>
      <c r="B173" s="66"/>
      <c r="C173" s="93"/>
      <c r="D173" s="93"/>
      <c r="E173" s="94"/>
      <c r="F173" s="138"/>
      <c r="G173" s="120"/>
      <c r="H173" s="121"/>
      <c r="I173" s="122"/>
      <c r="J173" s="93"/>
      <c r="K173" s="120"/>
    </row>
    <row r="174" spans="1:11" s="68" customFormat="1" x14ac:dyDescent="0.25">
      <c r="A174" s="67"/>
      <c r="B174" s="66" t="s">
        <v>75</v>
      </c>
      <c r="C174" s="95">
        <v>0.15</v>
      </c>
      <c r="D174" s="95">
        <v>0.15</v>
      </c>
      <c r="E174" s="96">
        <v>0.16</v>
      </c>
      <c r="F174" s="138"/>
      <c r="G174" s="120">
        <f>(POWER(E174/C174,1/2))-1</f>
        <v>3.2795558988644391E-2</v>
      </c>
      <c r="H174" s="142">
        <v>0.17</v>
      </c>
      <c r="I174" s="144">
        <v>0.18</v>
      </c>
      <c r="J174" s="95">
        <v>0.19</v>
      </c>
      <c r="K174" s="120">
        <f>(POWER(J174/E174,1/7))-1</f>
        <v>2.4853870133818123E-2</v>
      </c>
    </row>
    <row r="175" spans="1:11" s="68" customFormat="1" x14ac:dyDescent="0.25">
      <c r="A175" s="67"/>
      <c r="B175" s="66" t="s">
        <v>76</v>
      </c>
      <c r="C175" s="95">
        <v>0.49</v>
      </c>
      <c r="D175" s="95">
        <v>0.47</v>
      </c>
      <c r="E175" s="96">
        <v>0.45</v>
      </c>
      <c r="F175" s="138"/>
      <c r="G175" s="120">
        <f t="shared" ref="G175" si="48">(POWER(E175/C175,1/2))-1</f>
        <v>-4.1685152500090084E-2</v>
      </c>
      <c r="H175" s="142">
        <v>0.46</v>
      </c>
      <c r="I175" s="144">
        <v>0.47</v>
      </c>
      <c r="J175" s="95">
        <v>0.48</v>
      </c>
      <c r="K175" s="120">
        <f t="shared" ref="K175" si="49">(POWER(J175/E175,1/7))-1</f>
        <v>9.2624219083128345E-3</v>
      </c>
    </row>
    <row r="176" spans="1:11" s="68" customFormat="1" x14ac:dyDescent="0.25">
      <c r="A176" s="67"/>
      <c r="B176" s="66" t="s">
        <v>77</v>
      </c>
      <c r="C176" s="95">
        <v>0.36</v>
      </c>
      <c r="D176" s="95">
        <v>0.37</v>
      </c>
      <c r="E176" s="96">
        <v>0.39</v>
      </c>
      <c r="F176" s="138"/>
      <c r="G176" s="120">
        <f>(POWER(E176/C176,1/2))-1</f>
        <v>4.0832999733066533E-2</v>
      </c>
      <c r="H176" s="142">
        <v>0.37</v>
      </c>
      <c r="I176" s="144">
        <v>0.35</v>
      </c>
      <c r="J176" s="95">
        <v>0.33</v>
      </c>
      <c r="K176" s="120">
        <f>(POWER(J176/E176,1/7))-1</f>
        <v>-2.3582355095758456E-2</v>
      </c>
    </row>
    <row r="177" spans="1:14" s="69" customFormat="1" x14ac:dyDescent="0.25">
      <c r="A177" s="56"/>
      <c r="B177" s="57" t="s">
        <v>12</v>
      </c>
      <c r="C177" s="97">
        <v>1</v>
      </c>
      <c r="D177" s="97">
        <v>1</v>
      </c>
      <c r="E177" s="97">
        <v>1</v>
      </c>
      <c r="F177" s="138"/>
      <c r="G177" s="117"/>
      <c r="H177" s="143">
        <v>1</v>
      </c>
      <c r="I177" s="145">
        <v>1</v>
      </c>
      <c r="J177" s="97">
        <v>1</v>
      </c>
      <c r="K177" s="117"/>
    </row>
    <row r="178" spans="1:14" s="63" customFormat="1" x14ac:dyDescent="0.25">
      <c r="A178" s="64"/>
      <c r="B178" s="65"/>
      <c r="C178" s="99"/>
      <c r="D178" s="99"/>
      <c r="E178" s="100"/>
      <c r="F178" s="138"/>
      <c r="G178" s="124"/>
      <c r="H178" s="125"/>
      <c r="I178" s="99"/>
      <c r="J178" s="99"/>
      <c r="K178" s="124"/>
    </row>
    <row r="179" spans="1:14" s="69" customFormat="1" x14ac:dyDescent="0.25">
      <c r="A179" s="58">
        <v>24</v>
      </c>
      <c r="B179" s="56" t="s">
        <v>78</v>
      </c>
      <c r="C179" s="101" t="s">
        <v>101</v>
      </c>
      <c r="D179" s="101" t="s">
        <v>102</v>
      </c>
      <c r="E179" s="102" t="s">
        <v>102</v>
      </c>
      <c r="F179" s="138"/>
      <c r="G179" s="120">
        <f>(POWER(E179/C179,1/2))-1</f>
        <v>-1.117353505391161E-2</v>
      </c>
      <c r="H179" s="135" t="s">
        <v>102</v>
      </c>
      <c r="I179" s="136" t="s">
        <v>112</v>
      </c>
      <c r="J179" s="136" t="s">
        <v>112</v>
      </c>
      <c r="K179" s="126"/>
    </row>
    <row r="180" spans="1:14" x14ac:dyDescent="0.25">
      <c r="A180" s="6"/>
      <c r="B180" s="5"/>
      <c r="C180" s="103"/>
      <c r="D180" s="103"/>
      <c r="E180" s="104"/>
      <c r="F180" s="138"/>
      <c r="G180" s="127"/>
      <c r="H180" s="128"/>
      <c r="I180" s="103"/>
      <c r="J180" s="103"/>
      <c r="K180" s="127"/>
    </row>
    <row r="181" spans="1:14" s="1" customFormat="1" ht="30" x14ac:dyDescent="0.25">
      <c r="A181" s="6">
        <v>25</v>
      </c>
      <c r="B181" s="17" t="s">
        <v>79</v>
      </c>
      <c r="C181" s="133">
        <v>1.3668341968911917</v>
      </c>
      <c r="D181" s="133">
        <v>1.4258758389261743</v>
      </c>
      <c r="E181" s="149">
        <v>1.24</v>
      </c>
      <c r="F181" s="138"/>
      <c r="G181" s="129"/>
      <c r="H181" s="134">
        <v>1.5350313556034021</v>
      </c>
      <c r="I181" s="133">
        <v>1.5643923884514437</v>
      </c>
      <c r="J181" s="133">
        <v>1.58</v>
      </c>
      <c r="K181" s="129"/>
    </row>
    <row r="182" spans="1:14" x14ac:dyDescent="0.25">
      <c r="A182" s="7"/>
      <c r="B182" s="8"/>
      <c r="C182" s="105"/>
      <c r="D182" s="105"/>
      <c r="E182" s="106"/>
      <c r="F182" s="138"/>
      <c r="G182" s="130"/>
      <c r="H182" s="131"/>
      <c r="I182" s="105"/>
      <c r="J182" s="105"/>
      <c r="K182" s="130"/>
    </row>
    <row r="183" spans="1:14" s="1" customFormat="1" ht="15" customHeight="1" x14ac:dyDescent="0.25">
      <c r="A183" s="6">
        <v>26</v>
      </c>
      <c r="B183" s="5" t="s">
        <v>104</v>
      </c>
      <c r="C183" s="107">
        <v>0.39</v>
      </c>
      <c r="D183" s="107">
        <v>0.41</v>
      </c>
      <c r="E183" s="108">
        <v>0.43</v>
      </c>
      <c r="F183" s="138"/>
      <c r="G183" s="120">
        <f>(POWER(E183/C183,1/2))-1</f>
        <v>5.0030524586834213E-2</v>
      </c>
      <c r="H183" s="146">
        <v>0.44</v>
      </c>
      <c r="I183" s="107">
        <v>0.45</v>
      </c>
      <c r="J183" s="107">
        <v>0.46</v>
      </c>
      <c r="K183" s="120">
        <f t="shared" ref="K183" si="50">(POWER(J183/E183,1/7))-1</f>
        <v>9.6810295882219233E-3</v>
      </c>
      <c r="L183" s="89"/>
      <c r="M183" s="89"/>
      <c r="N183" s="89"/>
    </row>
    <row r="184" spans="1:14" x14ac:dyDescent="0.25">
      <c r="A184" s="7"/>
      <c r="B184" s="8"/>
      <c r="C184" s="109"/>
      <c r="D184" s="109"/>
      <c r="E184" s="110"/>
      <c r="F184" s="138"/>
      <c r="G184" s="130"/>
      <c r="H184" s="131"/>
      <c r="I184" s="105"/>
      <c r="J184" s="105"/>
      <c r="K184" s="130"/>
      <c r="L184" s="79"/>
      <c r="M184" s="79"/>
      <c r="N184" s="79"/>
    </row>
    <row r="185" spans="1:14" ht="30" x14ac:dyDescent="0.25">
      <c r="A185" s="6">
        <v>28</v>
      </c>
      <c r="B185" s="17" t="s">
        <v>105</v>
      </c>
      <c r="C185" s="107">
        <v>0.37</v>
      </c>
      <c r="D185" s="107">
        <v>0.36</v>
      </c>
      <c r="E185" s="108">
        <v>0.34</v>
      </c>
      <c r="F185" s="138"/>
      <c r="G185" s="120">
        <f>(POWER(E185/C185,1/2))-1</f>
        <v>-4.1397413461178423E-2</v>
      </c>
      <c r="H185" s="146">
        <v>0.36</v>
      </c>
      <c r="I185" s="107">
        <v>0.37</v>
      </c>
      <c r="J185" s="107">
        <v>0.39</v>
      </c>
      <c r="K185" s="120">
        <f t="shared" ref="K185" si="51">(POWER(J185/E185,1/7))-1</f>
        <v>1.9793504483410551E-2</v>
      </c>
      <c r="L185" s="79"/>
      <c r="M185" s="79"/>
      <c r="N185" s="79"/>
    </row>
    <row r="186" spans="1:14" x14ac:dyDescent="0.25">
      <c r="A186" s="7"/>
      <c r="B186" s="8"/>
      <c r="C186" s="105"/>
      <c r="D186" s="105"/>
      <c r="E186" s="106"/>
      <c r="F186" s="138"/>
      <c r="G186" s="115"/>
      <c r="H186" s="131"/>
      <c r="I186" s="105"/>
      <c r="J186" s="105"/>
      <c r="K186" s="115"/>
    </row>
    <row r="187" spans="1:14" x14ac:dyDescent="0.25">
      <c r="A187" s="6">
        <v>29</v>
      </c>
      <c r="B187" s="5" t="s">
        <v>106</v>
      </c>
      <c r="C187" s="111"/>
      <c r="D187" s="111"/>
      <c r="E187" s="112"/>
      <c r="F187" s="138"/>
      <c r="G187" s="127"/>
      <c r="H187" s="132"/>
      <c r="I187" s="111"/>
      <c r="J187" s="111"/>
      <c r="K187" s="127"/>
    </row>
    <row r="188" spans="1:14" x14ac:dyDescent="0.25">
      <c r="A188" s="7"/>
      <c r="B188" s="8"/>
      <c r="C188" s="105"/>
      <c r="D188" s="105"/>
      <c r="E188" s="106"/>
      <c r="F188" s="138"/>
      <c r="G188" s="130"/>
      <c r="H188" s="131"/>
      <c r="I188" s="105"/>
      <c r="J188" s="105"/>
      <c r="K188" s="130"/>
    </row>
    <row r="189" spans="1:14" x14ac:dyDescent="0.25">
      <c r="A189" s="7"/>
      <c r="B189" s="8" t="s">
        <v>80</v>
      </c>
      <c r="C189" s="113">
        <v>0.98270000000000002</v>
      </c>
      <c r="D189" s="113">
        <v>0.98150000000000004</v>
      </c>
      <c r="E189" s="114">
        <v>0.97360000000000002</v>
      </c>
      <c r="F189" s="138"/>
      <c r="G189" s="120">
        <f>(POWER(E189/C189,1/2))-1</f>
        <v>-4.640869578071638E-3</v>
      </c>
      <c r="H189" s="147">
        <v>0.96199999999999997</v>
      </c>
      <c r="I189" s="113">
        <v>0.96</v>
      </c>
      <c r="J189" s="113">
        <v>0.95499999999999996</v>
      </c>
      <c r="K189" s="120">
        <f t="shared" ref="K189:K192" si="52">(POWER(J189/E189,1/7))-1</f>
        <v>-2.7518069891836472E-3</v>
      </c>
    </row>
    <row r="190" spans="1:14" x14ac:dyDescent="0.25">
      <c r="A190" s="7"/>
      <c r="B190" s="8" t="s">
        <v>81</v>
      </c>
      <c r="C190" s="113">
        <v>5.1999999999999998E-3</v>
      </c>
      <c r="D190" s="113">
        <v>6.7000000000000002E-3</v>
      </c>
      <c r="E190" s="114">
        <v>9.9000000000000008E-3</v>
      </c>
      <c r="F190" s="138"/>
      <c r="G190" s="120">
        <f t="shared" ref="G190" si="53">(POWER(E190/C190,1/2))-1</f>
        <v>0.37979931651169996</v>
      </c>
      <c r="H190" s="147">
        <v>0.02</v>
      </c>
      <c r="I190" s="113">
        <v>0.02</v>
      </c>
      <c r="J190" s="113">
        <v>2.3E-2</v>
      </c>
      <c r="K190" s="120">
        <f t="shared" si="52"/>
        <v>0.12797363528333006</v>
      </c>
    </row>
    <row r="191" spans="1:14" x14ac:dyDescent="0.25">
      <c r="A191" s="7"/>
      <c r="B191" s="8" t="s">
        <v>82</v>
      </c>
      <c r="C191" s="113">
        <v>6.8999999999999999E-3</v>
      </c>
      <c r="D191" s="113">
        <v>6.7000000000000002E-3</v>
      </c>
      <c r="E191" s="114">
        <v>5.0000000000000001E-3</v>
      </c>
      <c r="F191" s="138"/>
      <c r="G191" s="120">
        <f>(POWER(E191/C191,1/2))-1</f>
        <v>-0.14874346924125137</v>
      </c>
      <c r="H191" s="147">
        <v>6.0000000000000001E-3</v>
      </c>
      <c r="I191" s="113">
        <v>6.0000000000000001E-3</v>
      </c>
      <c r="J191" s="113">
        <v>7.0000000000000001E-3</v>
      </c>
      <c r="K191" s="120">
        <f t="shared" si="52"/>
        <v>4.9241437255623133E-2</v>
      </c>
    </row>
    <row r="192" spans="1:14" s="18" customFormat="1" x14ac:dyDescent="0.25">
      <c r="A192" s="71"/>
      <c r="B192" s="72" t="s">
        <v>83</v>
      </c>
      <c r="C192" s="115">
        <v>5.1999999999999998E-3</v>
      </c>
      <c r="D192" s="115">
        <v>5.0000000000000001E-3</v>
      </c>
      <c r="E192" s="116">
        <v>1.1599999999999999E-2</v>
      </c>
      <c r="F192" s="138"/>
      <c r="G192" s="120">
        <f>(POWER(E192/C192,1/2))-1</f>
        <v>0.49357598761135368</v>
      </c>
      <c r="H192" s="148">
        <v>1.2E-2</v>
      </c>
      <c r="I192" s="115">
        <v>1.4E-2</v>
      </c>
      <c r="J192" s="115">
        <v>1.4999999999999999E-2</v>
      </c>
      <c r="K192" s="120">
        <f t="shared" si="52"/>
        <v>3.7403263731297987E-2</v>
      </c>
    </row>
    <row r="193" spans="1:11" x14ac:dyDescent="0.25">
      <c r="A193" s="7"/>
      <c r="B193" s="8"/>
      <c r="C193" s="26"/>
      <c r="D193" s="26"/>
      <c r="E193" s="90"/>
      <c r="F193" s="139"/>
      <c r="G193" s="115"/>
      <c r="H193" s="131"/>
      <c r="I193" s="105"/>
      <c r="J193" s="105"/>
      <c r="K193" s="115"/>
    </row>
    <row r="195" spans="1:11" x14ac:dyDescent="0.25">
      <c r="C195" s="83"/>
      <c r="D195" s="141" t="s">
        <v>103</v>
      </c>
      <c r="E195" s="141"/>
    </row>
  </sheetData>
  <mergeCells count="3">
    <mergeCell ref="F137:F193"/>
    <mergeCell ref="F112:F135"/>
    <mergeCell ref="D195:E195"/>
  </mergeCells>
  <pageMargins left="0.7" right="0.7" top="0.75" bottom="0.75" header="0.3" footer="0.3"/>
  <pageSetup paperSize="9" scale="81" orientation="landscape" horizontalDpi="300" verticalDpi="300" r:id="rId1"/>
  <rowBreaks count="5" manualBreakCount="5">
    <brk id="20" max="16383" man="1"/>
    <brk id="53" max="16383" man="1"/>
    <brk id="87" max="16383" man="1"/>
    <brk id="110" max="10" man="1"/>
    <brk id="1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</cp:lastModifiedBy>
  <cp:lastPrinted>2014-09-16T07:20:25Z</cp:lastPrinted>
  <dcterms:created xsi:type="dcterms:W3CDTF">2012-09-24T14:20:49Z</dcterms:created>
  <dcterms:modified xsi:type="dcterms:W3CDTF">2014-11-17T10:46:45Z</dcterms:modified>
</cp:coreProperties>
</file>